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82BB2E25-825E-4DAB-9F6A-AF777D01658B}" xr6:coauthVersionLast="36" xr6:coauthVersionMax="36" xr10:uidLastSave="{00000000-0000-0000-0000-000000000000}"/>
  <bookViews>
    <workbookView xWindow="-120" yWindow="-120" windowWidth="20730" windowHeight="11160" firstSheet="4" activeTab="4" xr2:uid="{00000000-000D-0000-FFFF-FFFF00000000}"/>
  </bookViews>
  <sheets>
    <sheet name="Structural Steel" sheetId="11" state="hidden" r:id="rId1"/>
    <sheet name="Reinforcement Steel" sheetId="12" state="hidden" r:id="rId2"/>
    <sheet name="RCC" sheetId="13" state="hidden" r:id="rId3"/>
    <sheet name="Earthwork and Shuttering" sheetId="14" state="hidden" r:id="rId4"/>
    <sheet name="PRICE LIST FORMAT" sheetId="130" r:id="rId5"/>
  </sheets>
  <definedNames>
    <definedName name="_xlnm.Print_Area" localSheetId="3">'Earthwork and Shuttering'!$A$1:$I$104</definedName>
    <definedName name="_xlnm.Print_Area" localSheetId="4">'PRICE LIST FORMAT'!$A$1:$F$45</definedName>
    <definedName name="_xlnm.Print_Area" localSheetId="2">RCC!$A$1:$I$129</definedName>
    <definedName name="_xlnm.Print_Area" localSheetId="1">'Reinforcement Steel'!$A$1:$N$70</definedName>
    <definedName name="_xlnm.Print_Area" localSheetId="0">'Structural Steel'!$A$1:$I$369</definedName>
  </definedNames>
  <calcPr calcId="191029"/>
</workbook>
</file>

<file path=xl/calcChain.xml><?xml version="1.0" encoding="utf-8"?>
<calcChain xmlns="http://schemas.openxmlformats.org/spreadsheetml/2006/main">
  <c r="F36" i="130" l="1"/>
  <c r="F35" i="130"/>
  <c r="F34" i="130"/>
  <c r="F13" i="130" l="1"/>
  <c r="F14" i="130"/>
  <c r="F15" i="130"/>
  <c r="F16" i="130"/>
  <c r="F17" i="130"/>
  <c r="F18" i="130"/>
  <c r="F19" i="130"/>
  <c r="F20" i="130"/>
  <c r="F21" i="130"/>
  <c r="F22" i="130"/>
  <c r="F23" i="130"/>
  <c r="F24" i="130"/>
  <c r="F25" i="130"/>
  <c r="F26" i="130"/>
  <c r="F27" i="130"/>
  <c r="F28" i="130"/>
  <c r="F29" i="130"/>
  <c r="F30" i="130"/>
  <c r="F31" i="130"/>
  <c r="F32" i="130"/>
  <c r="F33" i="130"/>
  <c r="F12" i="130"/>
  <c r="C366" i="11" l="1"/>
  <c r="H9" i="14" l="1"/>
  <c r="F121" i="13" l="1"/>
  <c r="F84" i="13"/>
  <c r="E84" i="13"/>
  <c r="S111" i="11" l="1"/>
  <c r="S248" i="11"/>
  <c r="D245" i="11"/>
  <c r="D241" i="11"/>
  <c r="D197" i="11"/>
  <c r="D96" i="11"/>
  <c r="H93" i="14" l="1"/>
  <c r="E42" i="13"/>
  <c r="D90" i="14"/>
  <c r="I90" i="14" s="1"/>
  <c r="D89" i="14"/>
  <c r="I89" i="14" s="1"/>
  <c r="D88" i="14"/>
  <c r="I88" i="14" s="1"/>
  <c r="D85" i="14"/>
  <c r="I85" i="14" s="1"/>
  <c r="D84" i="14"/>
  <c r="I84" i="14" s="1"/>
  <c r="D83" i="14"/>
  <c r="I83" i="14" s="1"/>
  <c r="D80" i="14"/>
  <c r="I80" i="14" s="1"/>
  <c r="D79" i="14"/>
  <c r="I79" i="14" s="1"/>
  <c r="I38" i="14"/>
  <c r="I37" i="14"/>
  <c r="I36" i="14"/>
  <c r="I121" i="13"/>
  <c r="H128" i="13" s="1"/>
  <c r="G81" i="13"/>
  <c r="G39" i="13"/>
  <c r="I118" i="13"/>
  <c r="I117" i="13"/>
  <c r="I114" i="13"/>
  <c r="D128" i="13" s="1"/>
  <c r="I84" i="13"/>
  <c r="H127" i="13" s="1"/>
  <c r="D81" i="13"/>
  <c r="I80" i="13"/>
  <c r="I77" i="13"/>
  <c r="D127" i="13" s="1"/>
  <c r="D39" i="13"/>
  <c r="I38" i="13"/>
  <c r="I91" i="14" l="1"/>
  <c r="G93" i="14" s="1"/>
  <c r="L93" i="14" s="1"/>
  <c r="I39" i="14"/>
  <c r="G41" i="14" s="1"/>
  <c r="F35" i="13"/>
  <c r="F42" i="13" s="1"/>
  <c r="I42" i="13" s="1"/>
  <c r="H126" i="13" s="1"/>
  <c r="H129" i="13" s="1"/>
  <c r="F128" i="13"/>
  <c r="I81" i="13"/>
  <c r="F127" i="13" s="1"/>
  <c r="I39" i="13"/>
  <c r="F126" i="13" s="1"/>
  <c r="F129" i="13" l="1"/>
  <c r="F135" i="13" s="1"/>
  <c r="I35" i="13"/>
  <c r="D126" i="13" s="1"/>
  <c r="D129" i="13" s="1"/>
  <c r="E135" i="13" s="1"/>
  <c r="L51" i="12"/>
  <c r="I51" i="12"/>
  <c r="L47" i="12"/>
  <c r="J47" i="12"/>
  <c r="K47" i="12" s="1"/>
  <c r="L43" i="12"/>
  <c r="J43" i="12"/>
  <c r="I43" i="12"/>
  <c r="H43" i="12"/>
  <c r="L39" i="12"/>
  <c r="J39" i="12"/>
  <c r="I39" i="12"/>
  <c r="L35" i="12"/>
  <c r="J35" i="12"/>
  <c r="I35" i="12"/>
  <c r="L20" i="12"/>
  <c r="I20" i="12"/>
  <c r="L16" i="12"/>
  <c r="J16" i="12"/>
  <c r="K16" i="12" s="1"/>
  <c r="H26" i="12" s="1"/>
  <c r="J26" i="12" s="1"/>
  <c r="L12" i="12"/>
  <c r="J12" i="12"/>
  <c r="I12" i="12"/>
  <c r="L8" i="12"/>
  <c r="J8" i="12"/>
  <c r="I8" i="12"/>
  <c r="K8" i="12" s="1"/>
  <c r="K12" i="12" l="1"/>
  <c r="M12" i="12" s="1"/>
  <c r="E136" i="13"/>
  <c r="E138" i="13" s="1"/>
  <c r="K39" i="12"/>
  <c r="M39" i="12" s="1"/>
  <c r="K43" i="12"/>
  <c r="M43" i="12" s="1"/>
  <c r="K35" i="12"/>
  <c r="K20" i="12"/>
  <c r="M20" i="12" s="1"/>
  <c r="K51" i="12"/>
  <c r="M51" i="12" s="1"/>
  <c r="M35" i="12"/>
  <c r="M8" i="12"/>
  <c r="H27" i="12"/>
  <c r="J27" i="12" s="1"/>
  <c r="M16" i="12"/>
  <c r="M47" i="12"/>
  <c r="H58" i="12"/>
  <c r="J58" i="12" s="1"/>
  <c r="H60" i="12" l="1"/>
  <c r="J60" i="12" s="1"/>
  <c r="G69" i="12" s="1"/>
  <c r="J69" i="12" s="1"/>
  <c r="H59" i="12"/>
  <c r="J59" i="12" s="1"/>
  <c r="G68" i="12" s="1"/>
  <c r="J68" i="12" s="1"/>
  <c r="H28" i="12"/>
  <c r="J28" i="12" s="1"/>
  <c r="J29" i="12" s="1"/>
  <c r="G67" i="12"/>
  <c r="J61" i="12" l="1"/>
  <c r="G70" i="12"/>
  <c r="J67" i="12"/>
  <c r="G77" i="12" l="1"/>
  <c r="G76" i="12"/>
  <c r="AA366" i="11"/>
  <c r="J363" i="11"/>
  <c r="E253" i="11"/>
  <c r="D253" i="11"/>
  <c r="E250" i="11"/>
  <c r="I250" i="11" s="1"/>
  <c r="T250" i="11" s="1"/>
  <c r="D184" i="11"/>
  <c r="I184" i="11" s="1"/>
  <c r="V183" i="11" s="1"/>
  <c r="D30" i="11"/>
  <c r="I30" i="11" s="1"/>
  <c r="V29" i="11" s="1"/>
  <c r="D348" i="11"/>
  <c r="I348" i="11" s="1"/>
  <c r="E347" i="11"/>
  <c r="I347" i="11" s="1"/>
  <c r="E351" i="11"/>
  <c r="I351" i="11" s="1"/>
  <c r="I352" i="11"/>
  <c r="E344" i="11"/>
  <c r="I344" i="11" s="1"/>
  <c r="E343" i="11"/>
  <c r="I343" i="11" s="1"/>
  <c r="E342" i="11"/>
  <c r="I342" i="11" s="1"/>
  <c r="E341" i="11"/>
  <c r="I341" i="11" s="1"/>
  <c r="I338" i="11"/>
  <c r="O338" i="11" s="1"/>
  <c r="I335" i="11"/>
  <c r="F362" i="11" s="1"/>
  <c r="I334" i="11"/>
  <c r="K334" i="11" s="1"/>
  <c r="D315" i="11"/>
  <c r="I315" i="11" s="1"/>
  <c r="N315" i="11" s="1"/>
  <c r="D314" i="11"/>
  <c r="I314" i="11" s="1"/>
  <c r="S315" i="11" s="1"/>
  <c r="D313" i="11"/>
  <c r="I313" i="11" s="1"/>
  <c r="S314" i="11" s="1"/>
  <c r="D311" i="11"/>
  <c r="I311" i="11" s="1"/>
  <c r="S312" i="11" s="1"/>
  <c r="D312" i="11"/>
  <c r="I312" i="11" s="1"/>
  <c r="S313" i="11" s="1"/>
  <c r="I308" i="11"/>
  <c r="O308" i="11" s="1"/>
  <c r="I309" i="11"/>
  <c r="O309" i="11" s="1"/>
  <c r="I307" i="11"/>
  <c r="O307" i="11" s="1"/>
  <c r="I306" i="11"/>
  <c r="O306" i="11" s="1"/>
  <c r="D302" i="11"/>
  <c r="I302" i="11" s="1"/>
  <c r="N302" i="11" s="1"/>
  <c r="D305" i="11"/>
  <c r="I305" i="11" s="1"/>
  <c r="O305" i="11" s="1"/>
  <c r="E301" i="11"/>
  <c r="I301" i="11" s="1"/>
  <c r="N301" i="11" s="1"/>
  <c r="I289" i="11"/>
  <c r="S289" i="11" s="1"/>
  <c r="D292" i="11"/>
  <c r="D293" i="11" s="1"/>
  <c r="I288" i="11"/>
  <c r="S288" i="11" s="1"/>
  <c r="I287" i="11"/>
  <c r="S287" i="11" s="1"/>
  <c r="I286" i="11"/>
  <c r="S286" i="11" s="1"/>
  <c r="I284" i="11"/>
  <c r="N284" i="11" s="1"/>
  <c r="E283" i="11"/>
  <c r="I283" i="11" s="1"/>
  <c r="O283" i="11" s="1"/>
  <c r="E282" i="11"/>
  <c r="I282" i="11" s="1"/>
  <c r="O282" i="11" s="1"/>
  <c r="E281" i="11"/>
  <c r="I281" i="11" s="1"/>
  <c r="I247" i="11"/>
  <c r="S247" i="11" s="1"/>
  <c r="D246" i="11"/>
  <c r="I246" i="11" s="1"/>
  <c r="S246" i="11" s="1"/>
  <c r="I245" i="11"/>
  <c r="S245" i="11" s="1"/>
  <c r="D244" i="11"/>
  <c r="I244" i="11" s="1"/>
  <c r="S244" i="11" s="1"/>
  <c r="D243" i="11"/>
  <c r="I243" i="11" s="1"/>
  <c r="P243" i="11" s="1"/>
  <c r="I242" i="11"/>
  <c r="P242" i="11" s="1"/>
  <c r="I241" i="11"/>
  <c r="P241" i="11" s="1"/>
  <c r="D238" i="11"/>
  <c r="I238" i="11" s="1"/>
  <c r="O238" i="11" s="1"/>
  <c r="D237" i="11"/>
  <c r="I237" i="11" s="1"/>
  <c r="O237" i="11" s="1"/>
  <c r="D236" i="11"/>
  <c r="I236" i="11" s="1"/>
  <c r="S236" i="11" s="1"/>
  <c r="D235" i="11"/>
  <c r="I235" i="11" s="1"/>
  <c r="S235" i="11" s="1"/>
  <c r="D234" i="11"/>
  <c r="I234" i="11" s="1"/>
  <c r="S234" i="11" s="1"/>
  <c r="D232" i="11"/>
  <c r="I232" i="11" s="1"/>
  <c r="O232" i="11" s="1"/>
  <c r="D231" i="11"/>
  <c r="I231" i="11" s="1"/>
  <c r="O231" i="11" s="1"/>
  <c r="D228" i="11"/>
  <c r="I228" i="11" s="1"/>
  <c r="S228" i="11" s="1"/>
  <c r="D227" i="11"/>
  <c r="I227" i="11" s="1"/>
  <c r="S227" i="11" s="1"/>
  <c r="D225" i="11"/>
  <c r="I225" i="11" s="1"/>
  <c r="S225" i="11" s="1"/>
  <c r="D223" i="11"/>
  <c r="I223" i="11" s="1"/>
  <c r="O223" i="11" s="1"/>
  <c r="D222" i="11"/>
  <c r="I222" i="11" s="1"/>
  <c r="O222" i="11" s="1"/>
  <c r="D221" i="11"/>
  <c r="I221" i="11" s="1"/>
  <c r="O221" i="11" s="1"/>
  <c r="D220" i="11"/>
  <c r="I220" i="11" s="1"/>
  <c r="O220" i="11" s="1"/>
  <c r="D226" i="11"/>
  <c r="I226" i="11" s="1"/>
  <c r="S226" i="11" s="1"/>
  <c r="D217" i="11"/>
  <c r="I217" i="11" s="1"/>
  <c r="S217" i="11" s="1"/>
  <c r="D216" i="11"/>
  <c r="I216" i="11" s="1"/>
  <c r="S216" i="11" s="1"/>
  <c r="D215" i="11"/>
  <c r="I215" i="11" s="1"/>
  <c r="S215" i="11" s="1"/>
  <c r="D213" i="11"/>
  <c r="I213" i="11" s="1"/>
  <c r="O213" i="11" s="1"/>
  <c r="D212" i="11"/>
  <c r="I212" i="11" s="1"/>
  <c r="O212" i="11" s="1"/>
  <c r="D211" i="11"/>
  <c r="I211" i="11" s="1"/>
  <c r="O211" i="11" s="1"/>
  <c r="D210" i="11"/>
  <c r="I210" i="11" s="1"/>
  <c r="O210" i="11" s="1"/>
  <c r="D207" i="11"/>
  <c r="I207" i="11" s="1"/>
  <c r="O207" i="11" s="1"/>
  <c r="D206" i="11"/>
  <c r="I206" i="11" s="1"/>
  <c r="O206" i="11" s="1"/>
  <c r="D205" i="11"/>
  <c r="I205" i="11" s="1"/>
  <c r="P205" i="11" s="1"/>
  <c r="D204" i="11"/>
  <c r="I204" i="11" s="1"/>
  <c r="P204" i="11" s="1"/>
  <c r="D203" i="11"/>
  <c r="I203" i="11" s="1"/>
  <c r="U203" i="11" s="1"/>
  <c r="D202" i="11"/>
  <c r="I202" i="11" s="1"/>
  <c r="L202" i="11" s="1"/>
  <c r="D201" i="11"/>
  <c r="I201" i="11" s="1"/>
  <c r="Y202" i="11" s="1"/>
  <c r="D200" i="11"/>
  <c r="I200" i="11" s="1"/>
  <c r="Y201" i="11" s="1"/>
  <c r="I197" i="11"/>
  <c r="M197" i="11" s="1"/>
  <c r="D196" i="11"/>
  <c r="I196" i="11" s="1"/>
  <c r="U196" i="11" s="1"/>
  <c r="D195" i="11"/>
  <c r="I195" i="11" s="1"/>
  <c r="U195" i="11" s="1"/>
  <c r="D193" i="11"/>
  <c r="E193" i="11"/>
  <c r="E192" i="11"/>
  <c r="D194" i="11"/>
  <c r="I194" i="11" s="1"/>
  <c r="U194" i="11" s="1"/>
  <c r="D192" i="11"/>
  <c r="D189" i="11"/>
  <c r="I189" i="11" s="1"/>
  <c r="S189" i="11" s="1"/>
  <c r="E188" i="11"/>
  <c r="E187" i="11"/>
  <c r="D188" i="11"/>
  <c r="D187" i="11"/>
  <c r="D182" i="11"/>
  <c r="I182" i="11" s="1"/>
  <c r="U182" i="11" s="1"/>
  <c r="D181" i="11"/>
  <c r="I181" i="11" s="1"/>
  <c r="D183" i="11"/>
  <c r="D180" i="11"/>
  <c r="I180" i="11" s="1"/>
  <c r="U180" i="11" s="1"/>
  <c r="G179" i="11"/>
  <c r="F179" i="11"/>
  <c r="E179" i="11"/>
  <c r="D179" i="11"/>
  <c r="E142" i="11"/>
  <c r="I142" i="11" s="1"/>
  <c r="S142" i="11" s="1"/>
  <c r="E139" i="11"/>
  <c r="I139" i="11" s="1"/>
  <c r="T139" i="11" s="1"/>
  <c r="E136" i="11"/>
  <c r="I136" i="11" s="1"/>
  <c r="Z136" i="11" s="1"/>
  <c r="Z364" i="11" s="1"/>
  <c r="Z370" i="11" s="1"/>
  <c r="I133" i="11"/>
  <c r="O133" i="11" s="1"/>
  <c r="D130" i="11"/>
  <c r="I130" i="11" s="1"/>
  <c r="S130" i="11" s="1"/>
  <c r="D129" i="11"/>
  <c r="I129" i="11" s="1"/>
  <c r="S129" i="11" s="1"/>
  <c r="D128" i="11"/>
  <c r="I128" i="11" s="1"/>
  <c r="S128" i="11" s="1"/>
  <c r="D126" i="11"/>
  <c r="I126" i="11" s="1"/>
  <c r="N126" i="11" s="1"/>
  <c r="D125" i="11"/>
  <c r="I125" i="11" s="1"/>
  <c r="N125" i="11" s="1"/>
  <c r="D124" i="11"/>
  <c r="I124" i="11" s="1"/>
  <c r="N124" i="11" s="1"/>
  <c r="D123" i="11"/>
  <c r="I123" i="11" s="1"/>
  <c r="N123" i="11" s="1"/>
  <c r="D120" i="11"/>
  <c r="I120" i="11" s="1"/>
  <c r="S120" i="11" s="1"/>
  <c r="D119" i="11"/>
  <c r="I119" i="11" s="1"/>
  <c r="S119" i="11" s="1"/>
  <c r="D118" i="11"/>
  <c r="I118" i="11" s="1"/>
  <c r="S118" i="11" s="1"/>
  <c r="D116" i="11"/>
  <c r="I116" i="11" s="1"/>
  <c r="N116" i="11" s="1"/>
  <c r="D115" i="11"/>
  <c r="I115" i="11" s="1"/>
  <c r="N115" i="11" s="1"/>
  <c r="D114" i="11"/>
  <c r="I114" i="11" s="1"/>
  <c r="N114" i="11" s="1"/>
  <c r="D113" i="11"/>
  <c r="I113" i="11" s="1"/>
  <c r="N113" i="11" s="1"/>
  <c r="D110" i="11"/>
  <c r="I110" i="11" s="1"/>
  <c r="S110" i="11" s="1"/>
  <c r="D109" i="11"/>
  <c r="I109" i="11" s="1"/>
  <c r="S109" i="11" s="1"/>
  <c r="D108" i="11"/>
  <c r="I108" i="11" s="1"/>
  <c r="S108" i="11" s="1"/>
  <c r="D107" i="11"/>
  <c r="I107" i="11" s="1"/>
  <c r="S107" i="11" s="1"/>
  <c r="I106" i="11"/>
  <c r="S106" i="11" s="1"/>
  <c r="I105" i="11"/>
  <c r="S105" i="11" s="1"/>
  <c r="D104" i="11"/>
  <c r="I104" i="11" s="1"/>
  <c r="S104" i="11" s="1"/>
  <c r="D103" i="11"/>
  <c r="I103" i="11" s="1"/>
  <c r="S103" i="11" s="1"/>
  <c r="D102" i="11"/>
  <c r="I102" i="11" s="1"/>
  <c r="S102" i="11" s="1"/>
  <c r="D100" i="11"/>
  <c r="I100" i="11" s="1"/>
  <c r="O100" i="11" s="1"/>
  <c r="D99" i="11"/>
  <c r="I99" i="11" s="1"/>
  <c r="Y99" i="11" s="1"/>
  <c r="D98" i="11"/>
  <c r="I98" i="11" s="1"/>
  <c r="Y98" i="11" s="1"/>
  <c r="D97" i="11"/>
  <c r="E97" i="11"/>
  <c r="E96" i="11"/>
  <c r="I95" i="11"/>
  <c r="K95" i="11" s="1"/>
  <c r="D61" i="11"/>
  <c r="I61" i="11" s="1"/>
  <c r="M61" i="11" s="1"/>
  <c r="D58" i="11"/>
  <c r="I58" i="11" s="1"/>
  <c r="L58" i="11" s="1"/>
  <c r="D57" i="11"/>
  <c r="I57" i="11" s="1"/>
  <c r="O57" i="11" s="1"/>
  <c r="D56" i="11"/>
  <c r="I56" i="11" s="1"/>
  <c r="Y57" i="11" s="1"/>
  <c r="D55" i="11"/>
  <c r="I55" i="11" s="1"/>
  <c r="Y56" i="11" s="1"/>
  <c r="I52" i="11"/>
  <c r="R52" i="11" s="1"/>
  <c r="I51" i="11"/>
  <c r="R51" i="11" s="1"/>
  <c r="D47" i="11"/>
  <c r="I47" i="11" s="1"/>
  <c r="S47" i="11" s="1"/>
  <c r="D45" i="11"/>
  <c r="I45" i="11" s="1"/>
  <c r="S45" i="11" s="1"/>
  <c r="D44" i="11"/>
  <c r="I44" i="11" s="1"/>
  <c r="S44" i="11" s="1"/>
  <c r="D43" i="11"/>
  <c r="I43" i="11" s="1"/>
  <c r="S43" i="11" s="1"/>
  <c r="I48" i="11"/>
  <c r="S48" i="11" s="1"/>
  <c r="I46" i="11"/>
  <c r="S46" i="11" s="1"/>
  <c r="D41" i="11"/>
  <c r="I41" i="11" s="1"/>
  <c r="P40" i="11" s="1"/>
  <c r="D40" i="11"/>
  <c r="I40" i="11" s="1"/>
  <c r="O39" i="11" s="1"/>
  <c r="D39" i="11"/>
  <c r="I39" i="11" s="1"/>
  <c r="O38" i="11" s="1"/>
  <c r="D38" i="11"/>
  <c r="I38" i="11" s="1"/>
  <c r="O37" i="11" s="1"/>
  <c r="D37" i="11"/>
  <c r="I37" i="11" s="1"/>
  <c r="O36" i="11" s="1"/>
  <c r="D29" i="11"/>
  <c r="H34" i="11"/>
  <c r="D34" i="11"/>
  <c r="G34" i="11"/>
  <c r="F34" i="11"/>
  <c r="H33" i="11"/>
  <c r="G33" i="11"/>
  <c r="F33" i="11"/>
  <c r="D28" i="11"/>
  <c r="D27" i="11"/>
  <c r="I27" i="11" s="1"/>
  <c r="L27" i="11" s="1"/>
  <c r="D26" i="11"/>
  <c r="I26" i="11" s="1"/>
  <c r="D25" i="11"/>
  <c r="I25" i="11" s="1"/>
  <c r="R25" i="11" s="1"/>
  <c r="D24" i="11"/>
  <c r="D23" i="11"/>
  <c r="I22" i="11"/>
  <c r="K364" i="11" l="1"/>
  <c r="K370" i="11" s="1"/>
  <c r="Z367" i="11"/>
  <c r="AA290" i="11"/>
  <c r="G78" i="12"/>
  <c r="AA313" i="11"/>
  <c r="AA314" i="11" s="1"/>
  <c r="T364" i="11"/>
  <c r="K367" i="11"/>
  <c r="V364" i="11"/>
  <c r="I253" i="11"/>
  <c r="S255" i="11" s="1"/>
  <c r="C298" i="11"/>
  <c r="C320" i="11" s="1"/>
  <c r="C68" i="11"/>
  <c r="C358" i="11" s="1"/>
  <c r="L26" i="11"/>
  <c r="L364" i="11" s="1"/>
  <c r="F298" i="11"/>
  <c r="F320" i="11" s="1"/>
  <c r="F361" i="11" s="1"/>
  <c r="Y58" i="11"/>
  <c r="Y364" i="11" s="1"/>
  <c r="N181" i="11"/>
  <c r="N364" i="11" s="1"/>
  <c r="P364" i="11"/>
  <c r="U364" i="11"/>
  <c r="O281" i="11"/>
  <c r="O364" i="11" s="1"/>
  <c r="Q22" i="11"/>
  <c r="Q364" i="11" s="1"/>
  <c r="R335" i="11"/>
  <c r="C362" i="11"/>
  <c r="I362" i="11" s="1"/>
  <c r="C361" i="11"/>
  <c r="I188" i="11"/>
  <c r="X189" i="11" s="1"/>
  <c r="I192" i="11"/>
  <c r="W193" i="11" s="1"/>
  <c r="I193" i="11"/>
  <c r="W194" i="11" s="1"/>
  <c r="I187" i="11"/>
  <c r="X188" i="11" s="1"/>
  <c r="I179" i="11"/>
  <c r="I97" i="11"/>
  <c r="M97" i="11" s="1"/>
  <c r="I96" i="11"/>
  <c r="M96" i="11" s="1"/>
  <c r="I33" i="11"/>
  <c r="R33" i="11" s="1"/>
  <c r="I34" i="11"/>
  <c r="R34" i="11" s="1"/>
  <c r="F258" i="11" l="1"/>
  <c r="F360" i="11" s="1"/>
  <c r="Y367" i="11"/>
  <c r="Y370" i="11"/>
  <c r="U367" i="11"/>
  <c r="U370" i="11"/>
  <c r="O367" i="11"/>
  <c r="O370" i="11"/>
  <c r="L367" i="11"/>
  <c r="L370" i="11"/>
  <c r="V367" i="11"/>
  <c r="V370" i="11"/>
  <c r="Q367" i="11"/>
  <c r="Q370" i="11"/>
  <c r="N367" i="11"/>
  <c r="N370" i="11"/>
  <c r="T367" i="11"/>
  <c r="T370" i="11"/>
  <c r="P367" i="11"/>
  <c r="P370" i="11"/>
  <c r="M364" i="11"/>
  <c r="X364" i="11"/>
  <c r="C258" i="11"/>
  <c r="C360" i="11" s="1"/>
  <c r="W364" i="11"/>
  <c r="R179" i="11"/>
  <c r="F147" i="11"/>
  <c r="F359" i="11" s="1"/>
  <c r="S364" i="11"/>
  <c r="I361" i="11"/>
  <c r="I298" i="11"/>
  <c r="I320" i="11"/>
  <c r="C147" i="11"/>
  <c r="W367" i="11" l="1"/>
  <c r="W370" i="11"/>
  <c r="X367" i="11"/>
  <c r="X370" i="11"/>
  <c r="S367" i="11"/>
  <c r="S370" i="11"/>
  <c r="M367" i="11"/>
  <c r="M370" i="11"/>
  <c r="I360" i="11"/>
  <c r="I147" i="11"/>
  <c r="C359" i="11"/>
  <c r="I258" i="11"/>
  <c r="C363" i="11" l="1"/>
  <c r="C364" i="11" s="1"/>
  <c r="I359" i="11"/>
  <c r="C365" i="11" l="1"/>
  <c r="I63" i="11"/>
  <c r="R63" i="11" s="1"/>
  <c r="I62" i="11"/>
  <c r="R62" i="11" s="1"/>
  <c r="I28" i="11"/>
  <c r="R28" i="11" s="1"/>
  <c r="I24" i="11"/>
  <c r="R24" i="11" s="1"/>
  <c r="I23" i="11"/>
  <c r="R23" i="11" l="1"/>
  <c r="R364" i="11" s="1"/>
  <c r="R370" i="11" s="1"/>
  <c r="F68" i="11"/>
  <c r="F358" i="11" s="1"/>
  <c r="R367" i="11" l="1"/>
  <c r="AA367" i="11" s="1"/>
  <c r="AA364" i="11"/>
  <c r="I68" i="11"/>
  <c r="I358" i="11"/>
  <c r="I363" i="11" s="1"/>
  <c r="F363" i="11"/>
  <c r="F364" i="11" l="1"/>
  <c r="I364" i="11" s="1"/>
  <c r="I365" i="11" s="1"/>
  <c r="I375" i="11" l="1"/>
  <c r="F365" i="11"/>
  <c r="I374" i="11"/>
</calcChain>
</file>

<file path=xl/sharedStrings.xml><?xml version="1.0" encoding="utf-8"?>
<sst xmlns="http://schemas.openxmlformats.org/spreadsheetml/2006/main" count="1523" uniqueCount="386">
  <si>
    <t>Items of work</t>
  </si>
  <si>
    <t>Unit</t>
  </si>
  <si>
    <t>SN</t>
  </si>
  <si>
    <t>Total</t>
  </si>
  <si>
    <t>Remarks</t>
  </si>
  <si>
    <t>Kg</t>
  </si>
  <si>
    <t>Quantity</t>
  </si>
  <si>
    <t>Columns</t>
  </si>
  <si>
    <t>=</t>
  </si>
  <si>
    <t>kg/m</t>
  </si>
  <si>
    <t>kg/m3</t>
  </si>
  <si>
    <t xml:space="preserve">Density of Steel </t>
  </si>
  <si>
    <t>Height of Column</t>
  </si>
  <si>
    <t>m</t>
  </si>
  <si>
    <t>Weight of ISA 150X150X16</t>
  </si>
  <si>
    <t>L(m)</t>
  </si>
  <si>
    <t>B(m)</t>
  </si>
  <si>
    <t>H(m)</t>
  </si>
  <si>
    <t>Th. (m)</t>
  </si>
  <si>
    <t>Base Plate:</t>
  </si>
  <si>
    <t>1. Base Plate</t>
  </si>
  <si>
    <t>No's</t>
  </si>
  <si>
    <t>-</t>
  </si>
  <si>
    <t>Quantity:</t>
  </si>
  <si>
    <t>Column: (1 Column)</t>
  </si>
  <si>
    <t>Side Runner Cleats - ISA 150X150X16</t>
  </si>
  <si>
    <t>Weight of ISA 65X65X8</t>
  </si>
  <si>
    <t>Gusset Plates:</t>
  </si>
  <si>
    <t>1. Plate 1</t>
  </si>
  <si>
    <t>2. Plate 2</t>
  </si>
  <si>
    <t>3. Plate 3</t>
  </si>
  <si>
    <t>4. Plate 4</t>
  </si>
  <si>
    <t>5. Plate 5</t>
  </si>
  <si>
    <t>6. Plate 6</t>
  </si>
  <si>
    <t>Weight of</t>
  </si>
  <si>
    <t>RSJ Channels, Angles Etc in KG</t>
  </si>
  <si>
    <t>Plates etc in KG</t>
  </si>
  <si>
    <t>Truss</t>
  </si>
  <si>
    <t>Anchor Bolts</t>
  </si>
  <si>
    <t>Main Columns:</t>
  </si>
  <si>
    <t>Weight of ISA 100X100X10</t>
  </si>
  <si>
    <t>Weight of ISA 75X75X10</t>
  </si>
  <si>
    <t>Calculation sheet of Steel Quantity in Wirur FOB</t>
  </si>
  <si>
    <t>Built - Up Column:</t>
  </si>
  <si>
    <t>x</t>
  </si>
  <si>
    <t>Web Plate (m)</t>
  </si>
  <si>
    <t>Flange Plates (m)</t>
  </si>
  <si>
    <t>Base Plate (m)</t>
  </si>
  <si>
    <t>2. Stiffener Plate (1)</t>
  </si>
  <si>
    <t>3. Stiffener Plate (2)</t>
  </si>
  <si>
    <t>4. Stiffener Plate (3)</t>
  </si>
  <si>
    <t xml:space="preserve">5. Web Cleat Angles </t>
  </si>
  <si>
    <t>6. Side Cleat Angles (L)</t>
  </si>
  <si>
    <t>7. Side Gusset Plates (S)</t>
  </si>
  <si>
    <t>1. Web Plate</t>
  </si>
  <si>
    <t>2. Flange Plates</t>
  </si>
  <si>
    <t>8. 32 Dia Anchor Bolts</t>
  </si>
  <si>
    <t>Column Bracings:</t>
  </si>
  <si>
    <t>1. Horizontal Ls (1)</t>
  </si>
  <si>
    <t>2. Horizontal Ls (2)</t>
  </si>
  <si>
    <t>3. Diagonal Ls (1)</t>
  </si>
  <si>
    <t>4. Diagonal Ls (2)</t>
  </si>
  <si>
    <t xml:space="preserve">5. Bracing Cleat Angles </t>
  </si>
  <si>
    <t>Gangway Girder Bracket:</t>
  </si>
  <si>
    <t xml:space="preserve">1. Bent Plate </t>
  </si>
  <si>
    <t xml:space="preserve">2. Stiffener Plate </t>
  </si>
  <si>
    <t>Floor Beams and Brackets:</t>
  </si>
  <si>
    <t>1. Floor Beams (Web side)</t>
  </si>
  <si>
    <t xml:space="preserve">Floor Beams ISMC 200x75 </t>
  </si>
  <si>
    <t>Weight of ISMC 200x75</t>
  </si>
  <si>
    <t>2. Floor Beams (Flange side)</t>
  </si>
  <si>
    <t xml:space="preserve">3. Floor Beam Cleat Angles </t>
  </si>
  <si>
    <t>4. Brackets</t>
  </si>
  <si>
    <t>Stringer Beam Brackets:</t>
  </si>
  <si>
    <t>1. Brackets</t>
  </si>
  <si>
    <t>Weight of ISA 130X130X10</t>
  </si>
  <si>
    <t xml:space="preserve">2. Bent Plate </t>
  </si>
  <si>
    <t>Quantity of Steel in Main Columns:</t>
  </si>
  <si>
    <t>Gangway Girder:</t>
  </si>
  <si>
    <t>Top and Bottom Main Members - LS 200X200X20</t>
  </si>
  <si>
    <t>Weight of ISA 200X200X20</t>
  </si>
  <si>
    <t>Vertical and Diagonal Members - LS 130X130X10</t>
  </si>
  <si>
    <t>Length of Main LS</t>
  </si>
  <si>
    <t>Length of Vertical LS</t>
  </si>
  <si>
    <t>Length of Diagonal LS</t>
  </si>
  <si>
    <t>Longitudinal Runners - ISMC 150X75</t>
  </si>
  <si>
    <t>Weight of ISMC 150x75</t>
  </si>
  <si>
    <t>Support Plate for Gangway - 5mm Thick</t>
  </si>
  <si>
    <t xml:space="preserve">Column Ties ISA 75x75x10 </t>
  </si>
  <si>
    <t>Gangway Girder</t>
  </si>
  <si>
    <t>2. Vertical Members</t>
  </si>
  <si>
    <t>3. Diagonal Members</t>
  </si>
  <si>
    <t>4. Floor Beams (with Strut)</t>
  </si>
  <si>
    <t>5. Floor Beams (without Strut)</t>
  </si>
  <si>
    <t>6. Knee Strut Angles (L)</t>
  </si>
  <si>
    <t>1. Top &amp; Bottom Members</t>
  </si>
  <si>
    <t>7. Strut - Plate 1</t>
  </si>
  <si>
    <t>8. Strut - Plate 2</t>
  </si>
  <si>
    <t>9. Strut - Plate 3</t>
  </si>
  <si>
    <t>Bottom Bracings:</t>
  </si>
  <si>
    <t>1. Bracing Ls (1)</t>
  </si>
  <si>
    <t>2. Bracing Ls (2)</t>
  </si>
  <si>
    <t>3. Bracing Ls (3)</t>
  </si>
  <si>
    <t>4. Bracing Ls (4)</t>
  </si>
  <si>
    <t>Bracing Gusset Plates:</t>
  </si>
  <si>
    <t>Top Bracings:</t>
  </si>
  <si>
    <t>1. Tie Ls 75x75x10</t>
  </si>
  <si>
    <t>Truss Tie Members:</t>
  </si>
  <si>
    <t>Longitudinal Runners</t>
  </si>
  <si>
    <t>1. Runners ISMC 150X75</t>
  </si>
  <si>
    <t>Slab Support Plate 5 mm thick</t>
  </si>
  <si>
    <t xml:space="preserve">1. Gangway </t>
  </si>
  <si>
    <t>Slab Side Support Plates</t>
  </si>
  <si>
    <t>Gangway</t>
  </si>
  <si>
    <t>Quantity of Steel in Gangway Portion:</t>
  </si>
  <si>
    <t>Stairway Portion:</t>
  </si>
  <si>
    <t>Stairway Column - ISMB 350X140</t>
  </si>
  <si>
    <t>Weight of ISMB 350X140</t>
  </si>
  <si>
    <t>Stringer Beam - ISMC 400X100</t>
  </si>
  <si>
    <t>Weight of ISMC 400X100</t>
  </si>
  <si>
    <t>Length of Stairway Column - 1</t>
  </si>
  <si>
    <t>Length of Stairway Column - 2</t>
  </si>
  <si>
    <t>Length of Stringer beam - 1</t>
  </si>
  <si>
    <t>Length of Stringer beam - 2</t>
  </si>
  <si>
    <t>Top and Bottom Bracing Members - ISA 100X100X10</t>
  </si>
  <si>
    <t>Column and Stringer Bracing Members - ISA 75X75X10</t>
  </si>
  <si>
    <t>Stringer Cleat ISA 65x65x8</t>
  </si>
  <si>
    <t>Stringer Cleat ISA 130x130x10</t>
  </si>
  <si>
    <t>Weight of ISA 130x130x10</t>
  </si>
  <si>
    <t xml:space="preserve">3. Side Cleat Angles </t>
  </si>
  <si>
    <t>Side Cleat LS ISA 100x100x10</t>
  </si>
  <si>
    <t xml:space="preserve">4. Side Gusset Plates </t>
  </si>
  <si>
    <t xml:space="preserve">Stairway Column: </t>
  </si>
  <si>
    <t>1. Column 3.515m High</t>
  </si>
  <si>
    <t>2. Column 1.265m High</t>
  </si>
  <si>
    <t xml:space="preserve">3. Column Cap Plates </t>
  </si>
  <si>
    <t xml:space="preserve">Stringer Beams and Brackets with Cleats: </t>
  </si>
  <si>
    <t>1. Stringer beam - 1</t>
  </si>
  <si>
    <t>2. Stringer beam - 2</t>
  </si>
  <si>
    <t xml:space="preserve">3. Stringer Bracket Plates </t>
  </si>
  <si>
    <t>4. Stiffener Plates - 1</t>
  </si>
  <si>
    <t>5. Stiffener Plates - 2</t>
  </si>
  <si>
    <t>6. Stringer Connecting Cleat Ls</t>
  </si>
  <si>
    <t xml:space="preserve">Floor Beams and Brackets with Cleats: </t>
  </si>
  <si>
    <t>1. Floor beam - 1</t>
  </si>
  <si>
    <t>2. Floor beam - 2</t>
  </si>
  <si>
    <t xml:space="preserve">3. Stringer Bracket Ls </t>
  </si>
  <si>
    <t>5. Floor Beam Cleats - 1</t>
  </si>
  <si>
    <t>6. Floor Beam Cleats - 2</t>
  </si>
  <si>
    <t>7. Floor Beam Connecting Cleat Ls - 1</t>
  </si>
  <si>
    <t>8. Floor Beam Connecting Cleat Ls - 2</t>
  </si>
  <si>
    <t>1. Horizontal Bracing Ls (1)</t>
  </si>
  <si>
    <t>Landing Column Bracings (3.515m High):</t>
  </si>
  <si>
    <t>2. Horizontal Bracing Ls (2)</t>
  </si>
  <si>
    <t>3. Diagonal Bracing Ls (1)</t>
  </si>
  <si>
    <t>4. Diagonal Bracing Ls (2)</t>
  </si>
  <si>
    <t>Landing Column Bracings (1.265m High):</t>
  </si>
  <si>
    <t>Stringer Bracings:</t>
  </si>
  <si>
    <t>1. Diagonal Bracing Ls (1)</t>
  </si>
  <si>
    <t>4. Cleat Ls - 1</t>
  </si>
  <si>
    <t>5. Cleat Ls - 2</t>
  </si>
  <si>
    <t>1. Truss Verticals</t>
  </si>
  <si>
    <t>Truss Verticals - ISA 65X65X8</t>
  </si>
  <si>
    <t>2. Truss Verticals on Stringer Beams</t>
  </si>
  <si>
    <t>Truss Portion:</t>
  </si>
  <si>
    <t>3. Hand Rail Posts</t>
  </si>
  <si>
    <t>4. Truss Bottom Plate</t>
  </si>
  <si>
    <t>5. Truss Vertical Cap Plate</t>
  </si>
  <si>
    <t>6. Gusset Plates</t>
  </si>
  <si>
    <t>7. Stiffener Plates</t>
  </si>
  <si>
    <t>Quantity of Steel in Stairway Portion:</t>
  </si>
  <si>
    <t>Stairway</t>
  </si>
  <si>
    <t>Trusses:</t>
  </si>
  <si>
    <t>Truss Tie Members  - ISA 75x75x10</t>
  </si>
  <si>
    <t>Truss Rafter Members - ISA 75X75X10</t>
  </si>
  <si>
    <t>Truss Verticals - ISA 75X75X10</t>
  </si>
  <si>
    <t>Length of Tie Member</t>
  </si>
  <si>
    <t>Length of Rafter Member</t>
  </si>
  <si>
    <t>Length of Truss Vertical</t>
  </si>
  <si>
    <t>Truss Purlin Members - ISA 100X100X10</t>
  </si>
  <si>
    <t>Corner Truss Column Tie Members - ISA 75X75X10</t>
  </si>
  <si>
    <t>Trusses</t>
  </si>
  <si>
    <t>1. Tie Members</t>
  </si>
  <si>
    <t>2. Rafter Members</t>
  </si>
  <si>
    <t>3. Truss Verticals</t>
  </si>
  <si>
    <t>4. Cleat Ls</t>
  </si>
  <si>
    <t>Cleat LS ISA 100x100x10</t>
  </si>
  <si>
    <t>Total Trusses in Gangway</t>
  </si>
  <si>
    <t>Total Trusses in Stairway</t>
  </si>
  <si>
    <t xml:space="preserve">Total Number of Trusses </t>
  </si>
  <si>
    <t>Quantity of Steel for 26 Trusses:</t>
  </si>
  <si>
    <t xml:space="preserve">4. Shoe Plate </t>
  </si>
  <si>
    <t>Purlin Runners:</t>
  </si>
  <si>
    <t>1. Gangway Portion</t>
  </si>
  <si>
    <t>2. Stairway Portion</t>
  </si>
  <si>
    <t>Corner Trusses:</t>
  </si>
  <si>
    <t>4. Column Tie - 1</t>
  </si>
  <si>
    <t>5. Column Tie - 2</t>
  </si>
  <si>
    <t xml:space="preserve">4. Column Cap Plate </t>
  </si>
  <si>
    <t>5. Purlin Cleats</t>
  </si>
  <si>
    <t>Quantity of Steel in Trusses:</t>
  </si>
  <si>
    <t>Miscellaneous Items:</t>
  </si>
  <si>
    <t>Gangway Girder Splices - 180x180x20 cut from 200x200x20</t>
  </si>
  <si>
    <t>Gangway Girder Cover Plates - 180x20x1.0m</t>
  </si>
  <si>
    <t>Nosing LS for Steps - ISA 75X75X10</t>
  </si>
  <si>
    <t>Hand Railing - 25 Dia GI Pipes</t>
  </si>
  <si>
    <t>Gangway Girder Splices</t>
  </si>
  <si>
    <t>1. Cover LS</t>
  </si>
  <si>
    <t>2. Cover Plates</t>
  </si>
  <si>
    <t>1.Nosing LS</t>
  </si>
  <si>
    <t>Hand Railings:</t>
  </si>
  <si>
    <t>Nosing LS:</t>
  </si>
  <si>
    <t>1. Stairway</t>
  </si>
  <si>
    <t>R.M</t>
  </si>
  <si>
    <t>2. Gangway Outer Side</t>
  </si>
  <si>
    <t>3. Gangway Inner Side</t>
  </si>
  <si>
    <t>4. Gangway Landing</t>
  </si>
  <si>
    <t>Gutter:</t>
  </si>
  <si>
    <t>1. Gangway</t>
  </si>
  <si>
    <t>2. Stairway</t>
  </si>
  <si>
    <t>Sheeting Area:</t>
  </si>
  <si>
    <t>Quantity of Steel in for FOB:</t>
  </si>
  <si>
    <t>Miscellaneous Items</t>
  </si>
  <si>
    <t>9. Flat 75x10 for HD Bolts</t>
  </si>
  <si>
    <t>5. 25 Dia Anchor Bolts</t>
  </si>
  <si>
    <t>6. Flat 75x10 for HD Bolts</t>
  </si>
  <si>
    <t xml:space="preserve">        </t>
  </si>
  <si>
    <t xml:space="preserve"> </t>
  </si>
  <si>
    <t>LS 75X75X10</t>
  </si>
  <si>
    <t>LS 200X200X20</t>
  </si>
  <si>
    <t>LS 130X130X10</t>
  </si>
  <si>
    <t>LS 100X100X10</t>
  </si>
  <si>
    <t>LS 65X65X8</t>
  </si>
  <si>
    <t>LS 150X150X16</t>
  </si>
  <si>
    <t>32 THK PL</t>
  </si>
  <si>
    <t>20 THK PL</t>
  </si>
  <si>
    <t>10 THK PL</t>
  </si>
  <si>
    <t>5 THK PL.</t>
  </si>
  <si>
    <t>16 THK PL.</t>
  </si>
  <si>
    <t>75X10 FLAT</t>
  </si>
  <si>
    <t>ISMC 400</t>
  </si>
  <si>
    <t>ISMB 350</t>
  </si>
  <si>
    <t>ISMC 200</t>
  </si>
  <si>
    <t>ISMC 150</t>
  </si>
  <si>
    <t xml:space="preserve">1. Stairway </t>
  </si>
  <si>
    <t>Wt/M</t>
  </si>
  <si>
    <t>STEEL REINFORCEMENT STATEMENT</t>
  </si>
  <si>
    <t>WIRUR STATION</t>
  </si>
  <si>
    <t>Main Column Foundations:</t>
  </si>
  <si>
    <t>Sl. No.</t>
  </si>
  <si>
    <t>Name of rod</t>
  </si>
  <si>
    <t>Dia of rod</t>
  </si>
  <si>
    <t>Spacing</t>
  </si>
  <si>
    <t>Shape</t>
  </si>
  <si>
    <t>Unit Nos</t>
  </si>
  <si>
    <t>Nos</t>
  </si>
  <si>
    <t>Cut length</t>
  </si>
  <si>
    <t>Total length</t>
  </si>
  <si>
    <t>Unit weight</t>
  </si>
  <si>
    <t>Total weight</t>
  </si>
  <si>
    <t>F1</t>
  </si>
  <si>
    <t>Footing mat Bothways</t>
  </si>
  <si>
    <t>S1</t>
  </si>
  <si>
    <t>Vertical Stirrups</t>
  </si>
  <si>
    <t>Main Rod C1</t>
  </si>
  <si>
    <t>Pedestal main rods</t>
  </si>
  <si>
    <t>Rings for Pedestals</t>
  </si>
  <si>
    <t>Pedestal rings</t>
  </si>
  <si>
    <t>Total Number of Main Column Foundations</t>
  </si>
  <si>
    <t>Main Column Foundation Abstract</t>
  </si>
  <si>
    <t>Dia in mm</t>
  </si>
  <si>
    <t>Length</t>
  </si>
  <si>
    <t>Wt/m</t>
  </si>
  <si>
    <t>Landing Column Foundations:</t>
  </si>
  <si>
    <t>F2</t>
  </si>
  <si>
    <t>Landing Column Foundation Abstract</t>
  </si>
  <si>
    <t>Total Quantity of Steel Reinforcement for Foundation:</t>
  </si>
  <si>
    <t>Total Abstract</t>
  </si>
  <si>
    <t>Length R.M</t>
  </si>
  <si>
    <t>Platform level</t>
  </si>
  <si>
    <t>Rail level</t>
  </si>
  <si>
    <t>Ground level</t>
  </si>
  <si>
    <t>Levelling course</t>
  </si>
  <si>
    <t>Sand filling</t>
  </si>
  <si>
    <t>6 x 6 m</t>
  </si>
  <si>
    <t>Size of pedestal      =</t>
  </si>
  <si>
    <t>Size of foundation   =</t>
  </si>
  <si>
    <t>Platform level to rail level</t>
  </si>
  <si>
    <t>Rail level to ground level</t>
  </si>
  <si>
    <t>Thickness of levelling course</t>
  </si>
  <si>
    <t>Depth of sand filling</t>
  </si>
  <si>
    <t>Total depth of foundation</t>
  </si>
  <si>
    <t>C/C of columns</t>
  </si>
  <si>
    <t>M15 Lean Concrete:</t>
  </si>
  <si>
    <t>1. Lean Concrete</t>
  </si>
  <si>
    <t>Cu.M</t>
  </si>
  <si>
    <t>1. Bottom Footing</t>
  </si>
  <si>
    <t>M30 Concrete:</t>
  </si>
  <si>
    <t>2. Pedestal</t>
  </si>
  <si>
    <t>Sand Filling:</t>
  </si>
  <si>
    <t>1. Sand Filling</t>
  </si>
  <si>
    <t>3 x 2</t>
  </si>
  <si>
    <t>5.5 x 4.5 m</t>
  </si>
  <si>
    <t>Size of foundation  =</t>
  </si>
  <si>
    <t>Depth of foundation</t>
  </si>
  <si>
    <t>Stairway Columns Foundation:</t>
  </si>
  <si>
    <t>Main Columns Foundation:</t>
  </si>
  <si>
    <t>Stairway End Foundation:</t>
  </si>
  <si>
    <t>4.5x1.35</t>
  </si>
  <si>
    <t>Calculation sheet of RCC Quantity in Wirur FOB</t>
  </si>
  <si>
    <t>Excavation:</t>
  </si>
  <si>
    <t>1. Main Columns</t>
  </si>
  <si>
    <t>2. Stairway Columns</t>
  </si>
  <si>
    <t>3. Stairway End Foundation</t>
  </si>
  <si>
    <t>Calculation sheet of Earthwork Quantity in Wirur FOB</t>
  </si>
  <si>
    <t>Calculation sheet of Shuttering area Quantity in Wirur FOB</t>
  </si>
  <si>
    <t>Main Column Foundation:</t>
  </si>
  <si>
    <t>Sq.M</t>
  </si>
  <si>
    <t>Stairway Column Foundation:</t>
  </si>
  <si>
    <t>2. Bottom Footing - 2</t>
  </si>
  <si>
    <t>1. Bottom Footing - 1</t>
  </si>
  <si>
    <t>3. Pedestal</t>
  </si>
  <si>
    <t>Stairway End Foundation</t>
  </si>
  <si>
    <t>M15 Lean Concrete</t>
  </si>
  <si>
    <t>M30 Concrete</t>
  </si>
  <si>
    <t>Sand Filling</t>
  </si>
  <si>
    <t>Main Columns Foundation</t>
  </si>
  <si>
    <t>Stairway Columns Foundation</t>
  </si>
  <si>
    <t>S.No</t>
  </si>
  <si>
    <t>Description</t>
  </si>
  <si>
    <t>Main Abstract for Foundation:</t>
  </si>
  <si>
    <t xml:space="preserve">Total Quantity for Excavation in Foundation </t>
  </si>
  <si>
    <t xml:space="preserve">Total Quantity for Shuttering in Foundation </t>
  </si>
  <si>
    <t>Total Weight (Kg)</t>
  </si>
  <si>
    <t>Size of footing   =</t>
  </si>
  <si>
    <t>Extra 3% for Bolts, welding and Wastage</t>
  </si>
  <si>
    <t>KG</t>
  </si>
  <si>
    <t xml:space="preserve">SL No </t>
  </si>
  <si>
    <t xml:space="preserve">Description of item. </t>
  </si>
  <si>
    <t>UNIT</t>
  </si>
  <si>
    <t>Cum</t>
  </si>
  <si>
    <t>LS</t>
  </si>
  <si>
    <t>Brickwork with subclass ‘B’ bricks, straight or curved on plan exc 6m mean radius built in</t>
  </si>
  <si>
    <t>Sq.Mt</t>
  </si>
  <si>
    <t>HD Bolts for Base Plates</t>
  </si>
  <si>
    <t xml:space="preserve"> Spreading and levelling in layers not exc. 25 cm thick</t>
  </si>
  <si>
    <t>Add for well ramming including watering as required</t>
  </si>
  <si>
    <t>Earth work in excavation by mechanical means
(Hydraulic excavator) means over areas (exceeding 30 cm in depth, 1.5 m in width as well as 10 sqm on plan) including getting out and disposal of excavated earth lead upto 50 m and lift upto 1.5m, as directed by Engineer-in_x0002_charge</t>
  </si>
  <si>
    <t xml:space="preserve"> Formwork to sides of concrete foundations, footings, bases of columns, raft and raft beams, sides and soffits (if any) of foundation and plinth beams;and similar work; vertical or to batter</t>
  </si>
  <si>
    <t>VDF FLOORING - M25  Foundations, including rafts, footings, foundation beams; plinth beams; bases for columns, etc.; basement slabs, under-reamed piles and mass concrete</t>
  </si>
  <si>
    <t>Reinforced cement concrete (nominal mix) in:-Foundations, including rafts, footings, foundation beams; plinth beams; bases for columns, etc.; basement slabs, under-reamed piles and mass concrete</t>
  </si>
  <si>
    <t>Sand filling under floors or in foundations including watering and consolidation</t>
  </si>
  <si>
    <t>Surface excavation n.exc (not exceeding) 30 cm deep and averaging 15cm deep and getting out exceeding 1.5 m deep and getting out</t>
  </si>
  <si>
    <t>Bill Of Quantities - Details</t>
  </si>
  <si>
    <t>STRUCTURAL STEEL WORK -Plates (plain or chequered) channels, square cut or notched (ordinary and counter sunk) forming holes, without any attachment</t>
  </si>
  <si>
    <t>Unit Rate (Rs)</t>
  </si>
  <si>
    <t>Amount (Rs)</t>
  </si>
  <si>
    <t>Name of Work: PROPOSED CONSTRUCTION OF SERVICE STORE SHED OF SIZE 10.668M(35') X24.384M(80') X 7.625M(25')  IN PLOT NOS. B-14 &amp; B-23 SITUATED AT TSIIC ESTATE, MOULALI INDUSTRIAL AREA, R.R. DISTRICT, TELANGANA STATE.</t>
  </si>
  <si>
    <t>suppling and fixing flush door and  choukota all fitting labour charges size 2mtrX1mtr =2nos</t>
  </si>
  <si>
    <t>Plastering 12mm thick single coat in CM(1:6) using screened sand including cost and conveyance of all materials like cement, sand, water etc., to site and all operational, incidental charges on materials and including cost of all labour charges for mixing mortar, finishing, curing as directed by Engineer-in-charge etc., and overheads &amp; contractors profit complete for finished item of work.</t>
  </si>
  <si>
    <r>
      <rPr>
        <b/>
        <sz val="11"/>
        <rFont val="Calibri"/>
        <family val="2"/>
        <scheme val="minor"/>
      </rPr>
      <t>VDF bottom mat TMT  Anti rust</t>
    </r>
    <r>
      <rPr>
        <sz val="11"/>
        <rFont val="Calibri"/>
        <family val="2"/>
        <scheme val="minor"/>
      </rPr>
      <t xml:space="preserve">  steel bars 10mm
dia of Make: TATA / reputed make ,and over, cut to
length, bent to shape required, including cranking, bending spirally for hooping for columns, hooking
ends and binding with and including mild steel wire
(annealed) not less than 0.9mm dia or securing with clips</t>
    </r>
  </si>
  <si>
    <t xml:space="preserve"> Galvanised, corrugated mild steel sheeting with two corrugations side lap, fixed with coach screws and washers, in roofs, walls etc. with grade of zinc coating 275. of JSW / Jindal  / TATA make</t>
  </si>
  <si>
    <t>Electrical Work suppling and laying cable and 100 wats flood lights 8nos and 50 watts  flood lights 8nos and switches all arrangement 1.5 sqmm wires 180mtrs  2.5 sqmm wires 180 mtrs and 4.0 sq mm wire 90 mtrs,  MCB 20amps  12 nos , MCB 40  amps  4 Nos and db boxs 2nos pvc pipes 25mm sudhakar 40nos  including all material labour charges old shed and new shed / Cables make : Finolex / Havells India / V-Guard .  Flood lights make : Wipro / Havells India.  Electrical switches / MCBS  make : legrend / Havells / SIEMENS.</t>
  </si>
  <si>
    <t>Providing and fixing factory made uPVC white colour size( 1MX1M)
fixed window made of extruded profiles with wall
thickness of 2.3mm(+-0.2mm). Window profile with
hollow section with multi chamber. Frame- 5mm thick glazing with
selected quality glass
Net opening will be measured for payment purpose.)
Window size  1mtrX1mtrs  4 Nos .   uPVC make : VEKA India / LG Hausys / Fenesta Building Systems</t>
  </si>
  <si>
    <t>Mild steel bars 10mm dia and over, cut to length, bent to shape required, including cranking, bending spirally for hooping for columns, hooking ends and binding with and including mild steel wire (annealed) not less than 0.9mm dia or securing with clips.  Steel make :-  SAIL/TATA/NIPPON / JSW / JINDAL</t>
  </si>
  <si>
    <t>STRUCTURAL STEEL WORK - Plate girder or single stanchions, built up of one beam or channel Section with flange plates, caps, bases. splices, angle brackets, cleats and other connections.   Steel make :-  SAIL/TATA/NIPPON / JSW / JINDAL</t>
  </si>
  <si>
    <t>STRUCTURAL STEEL WORK - Roof trusses (framed), trussed, purlins, c rails and fastenings and heavy bracket framing (Beam, tee, angle, channel or flat sections) including distance pieces, cleats etc.   Steel make :-  SAIL/TATA/NIPPON / JSW / JINDAL</t>
  </si>
  <si>
    <t>Supply &amp; application of two coats of exterior &amp; interior  paint having VOC (Volatile Organic Compound) content less than 50 grams/litre for exterior walls including cost and labour charges. Paints Make : Asian / Berger / JSWpaints.</t>
  </si>
  <si>
    <t>Cement concrete - PCC Flooring
in foundations,filling and mass concrete (not less than 53 Grade of Ultatech Super / ACC / Birla Super)</t>
  </si>
  <si>
    <t>BIDDER  NAME  :</t>
  </si>
  <si>
    <t>TOTAL AMOUNT  BASIC VALUE</t>
  </si>
  <si>
    <t>GST  %</t>
  </si>
  <si>
    <t>TOTAL AMOUNT INCLUDING ALL TAXES AND DUTIES</t>
  </si>
  <si>
    <t>Rs.</t>
  </si>
  <si>
    <t>SINGATURE OF BIDDER WITH SEAL</t>
  </si>
  <si>
    <t>Note:</t>
  </si>
  <si>
    <t>(a)</t>
  </si>
  <si>
    <t>The rate quoted is deemed to include for all wastages</t>
  </si>
  <si>
    <t>(b)</t>
  </si>
  <si>
    <t>The rate quoted is deemed to include for providing and removal of scaffolding for the relevant work wherever required as per site conditions</t>
  </si>
  <si>
    <t>( C )</t>
  </si>
  <si>
    <t>Only actual work done shall be measure for payment</t>
  </si>
  <si>
    <t>(d)</t>
  </si>
  <si>
    <t xml:space="preserve">Bidders/contractors are requested to refer the drawings uploaded in Technical Bid for </t>
  </si>
  <si>
    <t>submission of quote</t>
  </si>
  <si>
    <t>Tender No: 6300039204                                                                                       Date: 18.11.2024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</si>
</sst>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8"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b/>
      <u/>
      <sz val="12"/>
      <color theme="1"/>
      <name val="Calibri"/>
      <family val="2"/>
      <scheme val="minor"/>
    </font>
    <font>
      <u/>
      <sz val="12"/>
      <color theme="1"/>
      <name val="Calibri"/>
      <family val="2"/>
      <scheme val="minor"/>
    </font>
    <font>
      <b/>
      <u/>
      <sz val="14"/>
      <color theme="1"/>
      <name val="Calibri"/>
      <family val="2"/>
      <scheme val="minor"/>
    </font>
    <font>
      <sz val="11"/>
      <color rgb="FF006100"/>
      <name val="Calibri"/>
      <family val="2"/>
      <scheme val="minor"/>
    </font>
    <font>
      <sz val="11"/>
      <color rgb="FF9C5700"/>
      <name val="Calibri"/>
      <family val="2"/>
      <scheme val="minor"/>
    </font>
    <font>
      <sz val="11"/>
      <color rgb="FFFF0000"/>
      <name val="Calibri"/>
      <family val="2"/>
      <scheme val="minor"/>
    </font>
    <font>
      <b/>
      <u/>
      <sz val="11"/>
      <color theme="1"/>
      <name val="Calibri"/>
      <family val="2"/>
      <scheme val="minor"/>
    </font>
    <font>
      <sz val="11"/>
      <name val="Calibri"/>
      <family val="2"/>
      <scheme val="minor"/>
    </font>
    <font>
      <b/>
      <u/>
      <sz val="11"/>
      <color theme="1"/>
      <name val="Times New Roman"/>
      <family val="1"/>
    </font>
    <font>
      <b/>
      <u/>
      <sz val="14"/>
      <color rgb="FFFF0000"/>
      <name val="Times New Roman"/>
      <family val="1"/>
    </font>
    <font>
      <b/>
      <u/>
      <sz val="14"/>
      <name val="Times New Roman"/>
      <family val="1"/>
    </font>
    <font>
      <sz val="11"/>
      <color theme="1"/>
      <name val="Times New Roman"/>
      <family val="1"/>
    </font>
    <font>
      <b/>
      <sz val="11"/>
      <color theme="1"/>
      <name val="Times New Roman"/>
      <family val="1"/>
    </font>
    <font>
      <sz val="11"/>
      <color rgb="FFFF0000"/>
      <name val="Times New Roman"/>
      <family val="1"/>
    </font>
    <font>
      <sz val="11"/>
      <name val="Times New Roman"/>
      <family val="1"/>
    </font>
    <font>
      <b/>
      <sz val="11"/>
      <name val="Times New Roman"/>
      <family val="1"/>
    </font>
    <font>
      <sz val="12"/>
      <color theme="1"/>
      <name val="Times New Roman"/>
      <family val="1"/>
    </font>
    <font>
      <b/>
      <u/>
      <sz val="12"/>
      <color theme="1"/>
      <name val="Times New Roman"/>
      <family val="1"/>
    </font>
    <font>
      <b/>
      <sz val="12"/>
      <color theme="1"/>
      <name val="Times New Roman"/>
      <family val="1"/>
    </font>
    <font>
      <b/>
      <sz val="11"/>
      <color rgb="FFFF0000"/>
      <name val="Calibri"/>
      <family val="2"/>
      <scheme val="minor"/>
    </font>
    <font>
      <b/>
      <u/>
      <sz val="11"/>
      <color rgb="FFFF0000"/>
      <name val="Calibri"/>
      <family val="2"/>
      <scheme val="minor"/>
    </font>
    <font>
      <b/>
      <u/>
      <sz val="14"/>
      <color rgb="FFFF0000"/>
      <name val="Calibri"/>
      <family val="2"/>
      <scheme val="minor"/>
    </font>
    <font>
      <b/>
      <u/>
      <sz val="14"/>
      <name val="Calibri"/>
      <family val="2"/>
      <scheme val="minor"/>
    </font>
    <font>
      <b/>
      <sz val="14"/>
      <name val="Calibri"/>
      <family val="2"/>
      <scheme val="minor"/>
    </font>
    <font>
      <b/>
      <sz val="11"/>
      <name val="Calibri"/>
      <family val="2"/>
      <scheme val="minor"/>
    </font>
    <font>
      <b/>
      <sz val="12"/>
      <name val="Calibri"/>
      <family val="2"/>
      <scheme val="minor"/>
    </font>
    <font>
      <u/>
      <sz val="12"/>
      <name val="Calibri"/>
      <family val="2"/>
      <scheme val="minor"/>
    </font>
    <font>
      <sz val="12"/>
      <name val="Calibri"/>
      <family val="2"/>
      <scheme val="minor"/>
    </font>
    <font>
      <b/>
      <u/>
      <sz val="12"/>
      <name val="Calibri"/>
      <family val="2"/>
      <scheme val="minor"/>
    </font>
    <font>
      <sz val="10"/>
      <name val="Arial"/>
      <family val="2"/>
    </font>
    <font>
      <sz val="10"/>
      <name val="Times New Roman"/>
      <family val="1"/>
      <charset val="204"/>
    </font>
    <font>
      <b/>
      <u/>
      <sz val="16"/>
      <name val="Calibri"/>
      <family val="2"/>
      <scheme val="minor"/>
    </font>
    <font>
      <b/>
      <u/>
      <sz val="11"/>
      <name val="Calibri"/>
      <family val="2"/>
      <scheme val="minor"/>
    </font>
    <font>
      <sz val="14"/>
      <name val="Calibri"/>
      <family val="2"/>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rgb="FFC0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7" fillId="2" borderId="0" applyNumberFormat="0" applyBorder="0" applyAlignment="0" applyProtection="0"/>
    <xf numFmtId="0" fontId="8" fillId="3" borderId="0" applyNumberFormat="0" applyBorder="0" applyAlignment="0" applyProtection="0"/>
    <xf numFmtId="0" fontId="33" fillId="0" borderId="0"/>
    <xf numFmtId="0" fontId="33" fillId="0" borderId="0"/>
    <xf numFmtId="0" fontId="34" fillId="0" borderId="0" applyNumberFormat="0" applyFill="0" applyBorder="0" applyProtection="0">
      <alignment vertical="top" wrapText="1"/>
    </xf>
    <xf numFmtId="0" fontId="33" fillId="0" borderId="0"/>
    <xf numFmtId="0" fontId="33" fillId="0" borderId="0"/>
  </cellStyleXfs>
  <cellXfs count="205">
    <xf numFmtId="0" fontId="0" fillId="0" borderId="0" xfId="0"/>
    <xf numFmtId="0" fontId="0" fillId="0" borderId="0" xfId="0" applyAlignment="1">
      <alignment horizontal="center"/>
    </xf>
    <xf numFmtId="0" fontId="0" fillId="0" borderId="1" xfId="0" applyBorder="1" applyAlignment="1">
      <alignment horizontal="left" vertical="center"/>
    </xf>
    <xf numFmtId="0" fontId="2" fillId="0" borderId="1" xfId="0" applyFont="1" applyBorder="1" applyAlignment="1">
      <alignment horizontal="center" vertical="top"/>
    </xf>
    <xf numFmtId="0" fontId="1" fillId="0" borderId="1" xfId="0" applyFont="1" applyBorder="1" applyAlignment="1">
      <alignment horizontal="center" vertical="top"/>
    </xf>
    <xf numFmtId="0" fontId="2"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top"/>
    </xf>
    <xf numFmtId="2" fontId="0" fillId="0" borderId="1" xfId="0" applyNumberFormat="1" applyBorder="1" applyAlignment="1">
      <alignment horizontal="center"/>
    </xf>
    <xf numFmtId="0" fontId="0" fillId="0" borderId="1" xfId="0" applyBorder="1"/>
    <xf numFmtId="0" fontId="4" fillId="0" borderId="0" xfId="0" applyFont="1" applyAlignment="1">
      <alignment horizontal="left" vertical="center"/>
    </xf>
    <xf numFmtId="0" fontId="5" fillId="0" borderId="1" xfId="0" applyFont="1" applyBorder="1" applyAlignment="1">
      <alignment horizontal="left" vertical="top"/>
    </xf>
    <xf numFmtId="0" fontId="5" fillId="0" borderId="1" xfId="0" applyFont="1" applyBorder="1" applyAlignment="1">
      <alignment horizontal="left"/>
    </xf>
    <xf numFmtId="0" fontId="5" fillId="0" borderId="1" xfId="0" applyFont="1" applyBorder="1" applyAlignment="1">
      <alignment horizontal="left" vertical="center"/>
    </xf>
    <xf numFmtId="2" fontId="0" fillId="0" borderId="0" xfId="0" applyNumberFormat="1"/>
    <xf numFmtId="0" fontId="6" fillId="0" borderId="0" xfId="0" applyFont="1" applyAlignment="1">
      <alignment horizontal="left" vertical="center"/>
    </xf>
    <xf numFmtId="0" fontId="6" fillId="0" borderId="0" xfId="0" applyFont="1"/>
    <xf numFmtId="0" fontId="4" fillId="0" borderId="0" xfId="0" applyFont="1"/>
    <xf numFmtId="0" fontId="2" fillId="0" borderId="1" xfId="0" applyFont="1" applyBorder="1" applyAlignment="1">
      <alignment horizontal="center"/>
    </xf>
    <xf numFmtId="0" fontId="6" fillId="0" borderId="0" xfId="0" applyFont="1" applyAlignment="1">
      <alignment horizontal="center" vertical="center"/>
    </xf>
    <xf numFmtId="2" fontId="11" fillId="0" borderId="1" xfId="0" applyNumberFormat="1" applyFont="1" applyBorder="1"/>
    <xf numFmtId="2" fontId="0" fillId="0" borderId="1" xfId="0" applyNumberFormat="1" applyBorder="1" applyAlignment="1">
      <alignment horizontal="center" vertical="center"/>
    </xf>
    <xf numFmtId="0" fontId="13" fillId="0" borderId="0" xfId="0" applyFont="1" applyAlignment="1">
      <alignment horizontal="center" vertical="center"/>
    </xf>
    <xf numFmtId="0" fontId="14" fillId="0" borderId="0" xfId="0" applyFont="1" applyAlignment="1">
      <alignment horizontal="left" vertical="center"/>
    </xf>
    <xf numFmtId="0" fontId="15" fillId="0" borderId="0" xfId="0" applyFont="1" applyAlignment="1">
      <alignment horizontal="center" vertical="center"/>
    </xf>
    <xf numFmtId="0" fontId="16" fillId="0" borderId="0" xfId="0" applyFont="1" applyAlignment="1">
      <alignment horizontal="center" vertical="center"/>
    </xf>
    <xf numFmtId="0" fontId="16" fillId="0" borderId="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3" xfId="0" applyFont="1" applyBorder="1" applyAlignment="1">
      <alignment horizontal="center" vertical="center"/>
    </xf>
    <xf numFmtId="0" fontId="15" fillId="0" borderId="7" xfId="0" applyFont="1" applyBorder="1" applyAlignment="1">
      <alignment horizontal="center" vertical="center"/>
    </xf>
    <xf numFmtId="2" fontId="17" fillId="0" borderId="10" xfId="0" applyNumberFormat="1" applyFont="1" applyBorder="1" applyAlignment="1">
      <alignment horizontal="center" vertical="center"/>
    </xf>
    <xf numFmtId="0" fontId="15" fillId="0" borderId="11" xfId="0" applyFont="1" applyBorder="1" applyAlignment="1">
      <alignment horizontal="center" vertical="center"/>
    </xf>
    <xf numFmtId="0" fontId="16" fillId="0" borderId="3" xfId="0" applyFont="1" applyBorder="1" applyAlignment="1">
      <alignment horizontal="center" vertical="center"/>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164" fontId="17" fillId="0" borderId="8" xfId="0" applyNumberFormat="1" applyFont="1" applyBorder="1" applyAlignment="1">
      <alignment horizontal="center" vertical="center"/>
    </xf>
    <xf numFmtId="0" fontId="17" fillId="0" borderId="12" xfId="0" applyFont="1" applyBorder="1" applyAlignment="1">
      <alignment horizontal="center" vertical="center"/>
    </xf>
    <xf numFmtId="0" fontId="15" fillId="0" borderId="12" xfId="0" applyFont="1" applyBorder="1" applyAlignment="1">
      <alignment horizontal="center" vertical="center"/>
    </xf>
    <xf numFmtId="164" fontId="15" fillId="0" borderId="2" xfId="0" applyNumberFormat="1" applyFont="1" applyBorder="1" applyAlignment="1">
      <alignment horizontal="center" vertical="center"/>
    </xf>
    <xf numFmtId="0" fontId="16" fillId="0" borderId="2" xfId="0" applyFont="1" applyBorder="1" applyAlignment="1">
      <alignment horizontal="center" vertical="center" wrapText="1"/>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7" fillId="0" borderId="14" xfId="0" applyFont="1" applyBorder="1" applyAlignment="1">
      <alignment horizontal="center" vertical="center"/>
    </xf>
    <xf numFmtId="0" fontId="15" fillId="0" borderId="15" xfId="0" applyFont="1" applyBorder="1" applyAlignment="1">
      <alignment horizontal="center" vertical="center"/>
    </xf>
    <xf numFmtId="0" fontId="16" fillId="0" borderId="13" xfId="0" applyFont="1" applyBorder="1" applyAlignment="1">
      <alignment horizontal="center" vertical="center"/>
    </xf>
    <xf numFmtId="0" fontId="0" fillId="0" borderId="8" xfId="0" applyBorder="1"/>
    <xf numFmtId="0" fontId="0" fillId="0" borderId="12" xfId="0" applyBorder="1"/>
    <xf numFmtId="0" fontId="17" fillId="0" borderId="10" xfId="0" applyFont="1" applyBorder="1" applyAlignment="1">
      <alignment horizontal="center" vertical="center"/>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164" fontId="17" fillId="0" borderId="10" xfId="0" applyNumberFormat="1" applyFont="1" applyBorder="1" applyAlignment="1">
      <alignment horizontal="center" vertical="center"/>
    </xf>
    <xf numFmtId="164" fontId="17" fillId="0" borderId="12" xfId="0" applyNumberFormat="1" applyFont="1" applyBorder="1" applyAlignment="1">
      <alignment horizontal="center" vertical="center"/>
    </xf>
    <xf numFmtId="1" fontId="15" fillId="0" borderId="12" xfId="0" applyNumberFormat="1" applyFont="1" applyBorder="1" applyAlignment="1">
      <alignment horizontal="center" vertical="center"/>
    </xf>
    <xf numFmtId="164" fontId="17" fillId="0" borderId="14" xfId="0" applyNumberFormat="1" applyFont="1" applyBorder="1" applyAlignment="1">
      <alignment horizontal="center" vertical="center"/>
    </xf>
    <xf numFmtId="164" fontId="17" fillId="0" borderId="0" xfId="0" applyNumberFormat="1" applyFont="1" applyAlignment="1">
      <alignment horizontal="center" vertical="center"/>
    </xf>
    <xf numFmtId="0" fontId="20" fillId="0" borderId="0" xfId="0" applyFont="1" applyAlignment="1">
      <alignment horizontal="left" vertical="center"/>
    </xf>
    <xf numFmtId="0" fontId="12" fillId="0" borderId="1" xfId="0" applyFont="1" applyBorder="1" applyAlignment="1">
      <alignment horizontal="center" vertical="center"/>
    </xf>
    <xf numFmtId="0" fontId="10" fillId="0" borderId="1" xfId="0" applyFont="1" applyBorder="1" applyAlignment="1">
      <alignment horizontal="center"/>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0" fillId="0" borderId="1" xfId="0" applyFont="1" applyBorder="1" applyAlignment="1">
      <alignment horizontal="center" vertical="center"/>
    </xf>
    <xf numFmtId="0" fontId="22" fillId="0" borderId="1" xfId="0" applyFont="1" applyBorder="1" applyAlignment="1">
      <alignment horizontal="center" vertical="center"/>
    </xf>
    <xf numFmtId="0" fontId="1" fillId="0" borderId="0" xfId="0" applyFont="1"/>
    <xf numFmtId="0" fontId="1" fillId="0" borderId="0" xfId="0" applyFont="1" applyAlignment="1">
      <alignment horizontal="center"/>
    </xf>
    <xf numFmtId="2" fontId="1" fillId="0" borderId="0" xfId="0" applyNumberFormat="1" applyFont="1" applyAlignment="1">
      <alignment horizontal="left"/>
    </xf>
    <xf numFmtId="2" fontId="1" fillId="0" borderId="0" xfId="0" applyNumberFormat="1" applyFont="1" applyAlignment="1">
      <alignment horizontal="center"/>
    </xf>
    <xf numFmtId="2" fontId="1" fillId="0" borderId="0" xfId="0" applyNumberFormat="1" applyFont="1"/>
    <xf numFmtId="0" fontId="1" fillId="0" borderId="0" xfId="0" applyFont="1" applyAlignment="1">
      <alignment horizontal="right"/>
    </xf>
    <xf numFmtId="2" fontId="1" fillId="0" borderId="0" xfId="0" applyNumberFormat="1" applyFont="1" applyAlignment="1">
      <alignment horizontal="right"/>
    </xf>
    <xf numFmtId="0" fontId="0" fillId="0" borderId="0" xfId="0" applyAlignment="1">
      <alignment horizontal="left" vertical="center"/>
    </xf>
    <xf numFmtId="0" fontId="0" fillId="0" borderId="0" xfId="0" applyAlignment="1">
      <alignment horizontal="center" vertical="top"/>
    </xf>
    <xf numFmtId="0" fontId="0" fillId="0" borderId="9" xfId="0" applyBorder="1"/>
    <xf numFmtId="2" fontId="0" fillId="0" borderId="0" xfId="0" applyNumberForma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2" fontId="3" fillId="0" borderId="1" xfId="0" applyNumberFormat="1" applyFont="1" applyBorder="1" applyAlignment="1">
      <alignment horizontal="center" vertical="center"/>
    </xf>
    <xf numFmtId="0" fontId="2" fillId="0" borderId="0" xfId="0" applyFont="1" applyAlignment="1">
      <alignment horizontal="left" vertical="center"/>
    </xf>
    <xf numFmtId="0" fontId="2" fillId="0" borderId="0" xfId="0" applyFont="1"/>
    <xf numFmtId="0" fontId="2" fillId="0" borderId="0" xfId="0" applyFont="1" applyAlignment="1">
      <alignment horizontal="center"/>
    </xf>
    <xf numFmtId="2" fontId="2" fillId="0" borderId="0" xfId="0" applyNumberFormat="1" applyFont="1"/>
    <xf numFmtId="0" fontId="9" fillId="0" borderId="0" xfId="0" applyFont="1"/>
    <xf numFmtId="0" fontId="23" fillId="0" borderId="0" xfId="0" applyFont="1"/>
    <xf numFmtId="0" fontId="24" fillId="0" borderId="0" xfId="0" applyFont="1"/>
    <xf numFmtId="0" fontId="25" fillId="0" borderId="0" xfId="0" applyFont="1"/>
    <xf numFmtId="0" fontId="27" fillId="0" borderId="0" xfId="0" applyFont="1" applyAlignment="1">
      <alignment vertical="center"/>
    </xf>
    <xf numFmtId="0" fontId="11" fillId="0" borderId="0" xfId="0" applyFont="1"/>
    <xf numFmtId="0" fontId="11" fillId="4" borderId="0" xfId="0" applyFont="1" applyFill="1"/>
    <xf numFmtId="0" fontId="28" fillId="0" borderId="0" xfId="0" applyFont="1" applyAlignment="1">
      <alignment horizontal="center" vertical="center"/>
    </xf>
    <xf numFmtId="0" fontId="29" fillId="0" borderId="0" xfId="0" applyFont="1" applyAlignment="1">
      <alignment horizontal="center" vertical="center"/>
    </xf>
    <xf numFmtId="0" fontId="26"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left" vertical="center"/>
    </xf>
    <xf numFmtId="0" fontId="29" fillId="0" borderId="1" xfId="0" applyFont="1" applyBorder="1" applyAlignment="1">
      <alignment horizontal="center" vertical="top"/>
    </xf>
    <xf numFmtId="0" fontId="31" fillId="0" borderId="1" xfId="0" applyFont="1" applyBorder="1" applyAlignment="1">
      <alignment horizontal="center" vertical="top"/>
    </xf>
    <xf numFmtId="0" fontId="30" fillId="0" borderId="1" xfId="0" applyFont="1" applyBorder="1" applyAlignment="1">
      <alignment horizontal="left" vertical="top"/>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1" fillId="0" borderId="1" xfId="0" applyFont="1" applyBorder="1" applyAlignment="1">
      <alignment horizontal="center"/>
    </xf>
    <xf numFmtId="0" fontId="11" fillId="0" borderId="1" xfId="0" applyFont="1" applyBorder="1" applyAlignment="1">
      <alignment horizontal="center" vertical="top"/>
    </xf>
    <xf numFmtId="2" fontId="11" fillId="2" borderId="1" xfId="1" applyNumberFormat="1" applyFont="1" applyBorder="1" applyAlignment="1">
      <alignment horizontal="center"/>
    </xf>
    <xf numFmtId="2" fontId="11" fillId="0" borderId="0" xfId="0" applyNumberFormat="1" applyFont="1"/>
    <xf numFmtId="2" fontId="11" fillId="3" borderId="1" xfId="2" applyNumberFormat="1" applyFont="1" applyBorder="1" applyAlignment="1">
      <alignment horizontal="center"/>
    </xf>
    <xf numFmtId="2" fontId="11" fillId="4" borderId="1" xfId="2" applyNumberFormat="1" applyFont="1" applyFill="1" applyBorder="1" applyAlignment="1">
      <alignment horizontal="center"/>
    </xf>
    <xf numFmtId="2" fontId="11" fillId="0" borderId="1" xfId="0" applyNumberFormat="1" applyFont="1" applyBorder="1" applyAlignment="1">
      <alignment horizontal="center"/>
    </xf>
    <xf numFmtId="0" fontId="30" fillId="0" borderId="1" xfId="0" applyFont="1" applyBorder="1" applyAlignment="1">
      <alignment horizontal="left"/>
    </xf>
    <xf numFmtId="0" fontId="30" fillId="0" borderId="1" xfId="0" applyFont="1" applyBorder="1" applyAlignment="1">
      <alignment horizontal="left" vertical="center"/>
    </xf>
    <xf numFmtId="2" fontId="11" fillId="4" borderId="0" xfId="0" applyNumberFormat="1" applyFont="1" applyFill="1"/>
    <xf numFmtId="0" fontId="32" fillId="0" borderId="0" xfId="0" applyFont="1"/>
    <xf numFmtId="0" fontId="29" fillId="0" borderId="1" xfId="0" applyFont="1" applyBorder="1" applyAlignment="1">
      <alignment horizontal="center" vertical="center"/>
    </xf>
    <xf numFmtId="0" fontId="29" fillId="0" borderId="1" xfId="0" applyFont="1" applyBorder="1" applyAlignment="1">
      <alignment horizontal="center" vertical="center" wrapText="1"/>
    </xf>
    <xf numFmtId="0" fontId="29" fillId="0" borderId="1" xfId="0" applyFont="1" applyBorder="1" applyAlignment="1">
      <alignment horizontal="center"/>
    </xf>
    <xf numFmtId="0" fontId="31" fillId="0" borderId="1" xfId="0" applyFont="1" applyBorder="1" applyAlignment="1">
      <alignment horizontal="center" vertical="center"/>
    </xf>
    <xf numFmtId="2" fontId="11" fillId="2" borderId="2" xfId="1" applyNumberFormat="1" applyFont="1" applyBorder="1" applyAlignment="1">
      <alignment horizontal="center"/>
    </xf>
    <xf numFmtId="0" fontId="11" fillId="0" borderId="1" xfId="0" applyFont="1" applyBorder="1" applyAlignment="1">
      <alignment horizontal="left" vertical="center" wrapText="1"/>
    </xf>
    <xf numFmtId="2" fontId="11" fillId="3" borderId="1" xfId="2" applyNumberFormat="1" applyFont="1" applyBorder="1" applyAlignment="1">
      <alignment horizontal="center" vertical="center"/>
    </xf>
    <xf numFmtId="0" fontId="11" fillId="0" borderId="4" xfId="0" applyFont="1" applyBorder="1" applyAlignment="1">
      <alignment horizontal="left"/>
    </xf>
    <xf numFmtId="0" fontId="11" fillId="0" borderId="5" xfId="0" applyFont="1" applyBorder="1" applyAlignment="1">
      <alignment horizontal="center"/>
    </xf>
    <xf numFmtId="0" fontId="11" fillId="0" borderId="1" xfId="0" applyFont="1" applyBorder="1"/>
    <xf numFmtId="0" fontId="11" fillId="0" borderId="4" xfId="0" applyFont="1" applyBorder="1" applyAlignment="1">
      <alignment horizontal="center"/>
    </xf>
    <xf numFmtId="164" fontId="11" fillId="0" borderId="0" xfId="0" applyNumberFormat="1" applyFont="1"/>
    <xf numFmtId="165" fontId="11" fillId="0" borderId="1" xfId="0" applyNumberFormat="1" applyFont="1" applyBorder="1"/>
    <xf numFmtId="0" fontId="31" fillId="0" borderId="1" xfId="0" applyFont="1" applyBorder="1" applyAlignment="1">
      <alignment horizontal="center" vertical="center" wrapText="1"/>
    </xf>
    <xf numFmtId="2" fontId="11" fillId="4" borderId="1" xfId="0" applyNumberFormat="1" applyFont="1" applyFill="1" applyBorder="1"/>
    <xf numFmtId="2" fontId="11" fillId="0" borderId="1" xfId="0" applyNumberFormat="1" applyFont="1" applyBorder="1" applyAlignment="1">
      <alignment horizontal="center" vertical="center"/>
    </xf>
    <xf numFmtId="164" fontId="29" fillId="0" borderId="1" xfId="0" applyNumberFormat="1" applyFont="1" applyBorder="1" applyAlignment="1">
      <alignment horizontal="center" vertical="center"/>
    </xf>
    <xf numFmtId="0" fontId="11" fillId="0" borderId="0" xfId="0" applyFont="1" applyAlignment="1">
      <alignment wrapText="1"/>
    </xf>
    <xf numFmtId="0" fontId="36" fillId="0" borderId="0" xfId="0" applyFont="1" applyAlignment="1">
      <alignment horizontal="center" vertical="center" wrapText="1"/>
    </xf>
    <xf numFmtId="0" fontId="28" fillId="0" borderId="0" xfId="0" applyFont="1" applyAlignment="1">
      <alignment horizontal="center" vertical="center" wrapText="1"/>
    </xf>
    <xf numFmtId="0" fontId="27" fillId="0" borderId="0" xfId="0" applyFont="1" applyAlignment="1">
      <alignment horizontal="center"/>
    </xf>
    <xf numFmtId="0" fontId="11" fillId="0" borderId="1" xfId="0" applyFont="1" applyBorder="1" applyAlignment="1">
      <alignment horizontal="left" vertical="top" wrapText="1"/>
    </xf>
    <xf numFmtId="164" fontId="29" fillId="0" borderId="1" xfId="0" applyNumberFormat="1" applyFont="1" applyBorder="1" applyAlignment="1">
      <alignment horizontal="center" vertical="center" wrapText="1"/>
    </xf>
    <xf numFmtId="164" fontId="27" fillId="0" borderId="1" xfId="0" applyNumberFormat="1" applyFont="1" applyBorder="1" applyAlignment="1">
      <alignment vertical="center" wrapText="1"/>
    </xf>
    <xf numFmtId="0" fontId="11" fillId="0" borderId="1" xfId="0" applyFont="1" applyBorder="1" applyAlignment="1">
      <alignment wrapText="1"/>
    </xf>
    <xf numFmtId="0" fontId="11" fillId="0" borderId="1" xfId="0" applyFont="1" applyBorder="1" applyAlignment="1">
      <alignment vertical="top" wrapText="1"/>
    </xf>
    <xf numFmtId="0" fontId="11" fillId="0" borderId="0" xfId="0" applyFont="1" applyAlignment="1">
      <alignment vertical="center"/>
    </xf>
    <xf numFmtId="0" fontId="28" fillId="0" borderId="1" xfId="0" applyFont="1" applyBorder="1" applyAlignment="1">
      <alignment horizontal="center" vertical="center"/>
    </xf>
    <xf numFmtId="164" fontId="28" fillId="0" borderId="1" xfId="0" applyNumberFormat="1" applyFont="1" applyBorder="1" applyAlignment="1">
      <alignment horizontal="center" vertical="center"/>
    </xf>
    <xf numFmtId="0" fontId="28" fillId="0" borderId="0" xfId="0" applyFont="1"/>
    <xf numFmtId="0" fontId="37" fillId="0" borderId="0" xfId="0" applyFont="1" applyAlignment="1">
      <alignment horizontal="left" wrapText="1"/>
    </xf>
    <xf numFmtId="0" fontId="26" fillId="0" borderId="0" xfId="0" applyFont="1" applyAlignment="1">
      <alignment horizontal="left" wrapText="1"/>
    </xf>
    <xf numFmtId="165" fontId="29" fillId="0" borderId="1" xfId="0" applyNumberFormat="1" applyFont="1" applyBorder="1" applyAlignment="1">
      <alignment vertical="center" wrapText="1"/>
    </xf>
    <xf numFmtId="0" fontId="0" fillId="0" borderId="1" xfId="0" applyFont="1" applyBorder="1"/>
    <xf numFmtId="9" fontId="0" fillId="0" borderId="1" xfId="0" applyNumberFormat="1" applyFont="1" applyBorder="1"/>
    <xf numFmtId="0" fontId="3" fillId="0" borderId="1" xfId="0" applyFont="1" applyBorder="1" applyAlignment="1">
      <alignment horizontal="right"/>
    </xf>
    <xf numFmtId="0" fontId="2" fillId="0" borderId="0" xfId="0" applyFont="1" applyBorder="1" applyAlignment="1">
      <alignment horizontal="right" vertical="top"/>
    </xf>
    <xf numFmtId="0" fontId="2" fillId="0" borderId="0" xfId="0" applyFont="1" applyAlignment="1">
      <alignment horizontal="center" vertical="top"/>
    </xf>
    <xf numFmtId="0" fontId="2" fillId="0" borderId="0" xfId="0" applyFont="1" applyAlignment="1">
      <alignment horizontal="left" vertical="top"/>
    </xf>
    <xf numFmtId="0" fontId="28" fillId="0" borderId="1" xfId="0" applyFont="1" applyBorder="1"/>
    <xf numFmtId="164" fontId="28" fillId="0" borderId="1" xfId="0" applyNumberFormat="1" applyFont="1" applyBorder="1"/>
    <xf numFmtId="165" fontId="8" fillId="3" borderId="4" xfId="2" applyNumberFormat="1" applyBorder="1" applyAlignment="1">
      <alignment horizontal="center"/>
    </xf>
    <xf numFmtId="165" fontId="8" fillId="3" borderId="5" xfId="2" applyNumberFormat="1" applyBorder="1" applyAlignment="1">
      <alignment horizontal="center"/>
    </xf>
    <xf numFmtId="165" fontId="8" fillId="3" borderId="6" xfId="2" applyNumberFormat="1" applyBorder="1" applyAlignment="1">
      <alignment horizontal="center"/>
    </xf>
    <xf numFmtId="165" fontId="7" fillId="2" borderId="4" xfId="1" applyNumberFormat="1" applyBorder="1" applyAlignment="1">
      <alignment horizontal="center"/>
    </xf>
    <xf numFmtId="165" fontId="7" fillId="2" borderId="5" xfId="1" applyNumberFormat="1" applyBorder="1" applyAlignment="1">
      <alignment horizontal="center"/>
    </xf>
    <xf numFmtId="165" fontId="7" fillId="2" borderId="6" xfId="1" applyNumberFormat="1" applyBorder="1" applyAlignment="1">
      <alignment horizontal="center"/>
    </xf>
    <xf numFmtId="165" fontId="11" fillId="0" borderId="4" xfId="0" applyNumberFormat="1" applyFont="1" applyBorder="1" applyAlignment="1">
      <alignment horizontal="center"/>
    </xf>
    <xf numFmtId="165" fontId="11" fillId="0" borderId="5" xfId="0" applyNumberFormat="1" applyFont="1" applyBorder="1" applyAlignment="1">
      <alignment horizontal="center"/>
    </xf>
    <xf numFmtId="165" fontId="11" fillId="0" borderId="6" xfId="0" applyNumberFormat="1" applyFont="1" applyBorder="1" applyAlignment="1">
      <alignment horizontal="center"/>
    </xf>
    <xf numFmtId="2" fontId="11" fillId="3" borderId="4" xfId="2" applyNumberFormat="1" applyFont="1" applyBorder="1" applyAlignment="1">
      <alignment horizontal="center" vertical="center"/>
    </xf>
    <xf numFmtId="2" fontId="11" fillId="3" borderId="5" xfId="2" applyNumberFormat="1" applyFont="1" applyBorder="1" applyAlignment="1">
      <alignment horizontal="center" vertical="center"/>
    </xf>
    <xf numFmtId="2" fontId="11" fillId="3" borderId="6" xfId="2" applyNumberFormat="1" applyFont="1" applyBorder="1" applyAlignment="1">
      <alignment horizontal="center" vertical="center"/>
    </xf>
    <xf numFmtId="2" fontId="11" fillId="2" borderId="4" xfId="1" applyNumberFormat="1" applyFont="1" applyBorder="1" applyAlignment="1">
      <alignment horizontal="center" vertical="center"/>
    </xf>
    <xf numFmtId="2" fontId="11" fillId="2" borderId="5" xfId="1" applyNumberFormat="1" applyFont="1" applyBorder="1" applyAlignment="1">
      <alignment horizontal="center" vertical="center"/>
    </xf>
    <xf numFmtId="2" fontId="11" fillId="2" borderId="6" xfId="1" applyNumberFormat="1" applyFont="1" applyBorder="1" applyAlignment="1">
      <alignment horizontal="center"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6" fillId="0" borderId="0" xfId="0" applyFont="1" applyAlignment="1">
      <alignment horizontal="center" vertical="center"/>
    </xf>
    <xf numFmtId="2" fontId="11" fillId="3" borderId="1" xfId="2" applyNumberFormat="1" applyFont="1" applyBorder="1" applyAlignment="1">
      <alignment horizontal="center"/>
    </xf>
    <xf numFmtId="0" fontId="11" fillId="3" borderId="1" xfId="2" applyFont="1" applyBorder="1" applyAlignment="1">
      <alignment horizontal="center"/>
    </xf>
    <xf numFmtId="2" fontId="11" fillId="2" borderId="1" xfId="1" applyNumberFormat="1" applyFont="1" applyBorder="1" applyAlignment="1">
      <alignment horizontal="center"/>
    </xf>
    <xf numFmtId="0" fontId="11" fillId="2" borderId="1" xfId="1" applyFont="1" applyBorder="1" applyAlignment="1">
      <alignment horizontal="center"/>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1" xfId="0" applyFont="1" applyBorder="1" applyAlignment="1">
      <alignment horizontal="center" vertical="center"/>
    </xf>
    <xf numFmtId="0" fontId="21" fillId="0" borderId="1" xfId="0" applyFont="1" applyBorder="1" applyAlignment="1">
      <alignment horizontal="center" vertical="center"/>
    </xf>
    <xf numFmtId="0" fontId="21" fillId="0" borderId="4" xfId="0" applyFont="1" applyBorder="1" applyAlignment="1">
      <alignment horizontal="center" vertical="center"/>
    </xf>
    <xf numFmtId="0" fontId="21" fillId="0" borderId="6" xfId="0" applyFont="1" applyBorder="1" applyAlignment="1">
      <alignment horizontal="center" vertical="center"/>
    </xf>
    <xf numFmtId="0" fontId="6" fillId="0" borderId="0" xfId="0" applyFont="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1" fillId="0" borderId="0" xfId="0" applyFont="1" applyAlignment="1">
      <alignment horizontal="center"/>
    </xf>
    <xf numFmtId="0" fontId="3" fillId="0" borderId="1" xfId="0" applyFont="1" applyBorder="1" applyAlignment="1">
      <alignment horizontal="center" vertical="center" wrapText="1"/>
    </xf>
    <xf numFmtId="2" fontId="0" fillId="0" borderId="1" xfId="0" applyNumberFormat="1" applyBorder="1" applyAlignment="1">
      <alignment horizontal="center"/>
    </xf>
    <xf numFmtId="0" fontId="0" fillId="0" borderId="1" xfId="0" applyBorder="1" applyAlignment="1">
      <alignment horizontal="center"/>
    </xf>
    <xf numFmtId="0" fontId="3" fillId="0" borderId="1" xfId="0" applyFont="1" applyBorder="1" applyAlignment="1">
      <alignment horizontal="right" vertical="top"/>
    </xf>
    <xf numFmtId="0" fontId="2" fillId="0" borderId="0" xfId="0" applyFont="1" applyBorder="1" applyAlignment="1">
      <alignment horizontal="right" vertical="top"/>
    </xf>
    <xf numFmtId="0" fontId="2" fillId="0" borderId="0" xfId="0" applyFont="1" applyBorder="1" applyAlignment="1">
      <alignment horizontal="left" vertical="top"/>
    </xf>
    <xf numFmtId="0" fontId="2" fillId="0" borderId="0" xfId="0" applyFont="1" applyAlignment="1">
      <alignment horizontal="justify" vertical="top"/>
    </xf>
    <xf numFmtId="0" fontId="37" fillId="0" borderId="0" xfId="0" applyFont="1" applyAlignment="1">
      <alignment horizontal="left" wrapText="1"/>
    </xf>
    <xf numFmtId="0" fontId="26" fillId="0" borderId="0" xfId="0" applyFont="1" applyAlignment="1">
      <alignment horizontal="left" wrapText="1"/>
    </xf>
    <xf numFmtId="0" fontId="26" fillId="0" borderId="0" xfId="0" applyFont="1" applyAlignment="1">
      <alignment horizontal="left" vertical="center" wrapText="1"/>
    </xf>
    <xf numFmtId="0" fontId="35" fillId="0" borderId="0" xfId="0" applyFont="1" applyAlignment="1">
      <alignment horizontal="center"/>
    </xf>
  </cellXfs>
  <cellStyles count="8">
    <cellStyle name="Good" xfId="1" builtinId="26"/>
    <cellStyle name="Neutral" xfId="2" builtinId="28"/>
    <cellStyle name="Normal" xfId="0" builtinId="0"/>
    <cellStyle name="Normal 2" xfId="4" xr:uid="{00000000-0005-0000-0000-000003000000}"/>
    <cellStyle name="Normal 2 2" xfId="5" xr:uid="{00000000-0005-0000-0000-000004000000}"/>
    <cellStyle name="Normal 3" xfId="3" xr:uid="{00000000-0005-0000-0000-000005000000}"/>
    <cellStyle name="Normal 5" xfId="7" xr:uid="{00000000-0005-0000-0000-000006000000}"/>
    <cellStyle name="Normal 8"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68580</xdr:colOff>
      <xdr:row>7</xdr:row>
      <xdr:rowOff>327660</xdr:rowOff>
    </xdr:from>
    <xdr:to>
      <xdr:col>5</xdr:col>
      <xdr:colOff>990600</xdr:colOff>
      <xdr:row>7</xdr:row>
      <xdr:rowOff>335280</xdr:rowOff>
    </xdr:to>
    <xdr:cxnSp macro="">
      <xdr:nvCxnSpPr>
        <xdr:cNvPr id="2" name="Straight Connector 1">
          <a:extLst>
            <a:ext uri="{FF2B5EF4-FFF2-40B4-BE49-F238E27FC236}">
              <a16:creationId xmlns:a16="http://schemas.microsoft.com/office/drawing/2014/main" id="{00000000-0008-0000-0100-000002000000}"/>
            </a:ext>
          </a:extLst>
        </xdr:cNvPr>
        <xdr:cNvCxnSpPr/>
      </xdr:nvCxnSpPr>
      <xdr:spPr>
        <a:xfrm>
          <a:off x="2903220" y="1927860"/>
          <a:ext cx="922020" cy="762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441960</xdr:colOff>
      <xdr:row>16</xdr:row>
      <xdr:rowOff>0</xdr:rowOff>
    </xdr:from>
    <xdr:to>
      <xdr:col>5</xdr:col>
      <xdr:colOff>680422</xdr:colOff>
      <xdr:row>16</xdr:row>
      <xdr:rowOff>0</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H="1">
          <a:off x="3276600" y="4792980"/>
          <a:ext cx="238462" cy="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662940</xdr:colOff>
      <xdr:row>15</xdr:row>
      <xdr:rowOff>53340</xdr:rowOff>
    </xdr:from>
    <xdr:to>
      <xdr:col>5</xdr:col>
      <xdr:colOff>667090</xdr:colOff>
      <xdr:row>15</xdr:row>
      <xdr:rowOff>687048</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H="1" flipV="1">
          <a:off x="3497580" y="4320540"/>
          <a:ext cx="4150" cy="47368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144781</xdr:colOff>
      <xdr:row>19</xdr:row>
      <xdr:rowOff>137160</xdr:rowOff>
    </xdr:from>
    <xdr:to>
      <xdr:col>5</xdr:col>
      <xdr:colOff>929641</xdr:colOff>
      <xdr:row>19</xdr:row>
      <xdr:rowOff>891540</xdr:rowOff>
    </xdr:to>
    <xdr:sp macro="" textlink="">
      <xdr:nvSpPr>
        <xdr:cNvPr id="5" name="Rectangle 4">
          <a:extLst>
            <a:ext uri="{FF2B5EF4-FFF2-40B4-BE49-F238E27FC236}">
              <a16:creationId xmlns:a16="http://schemas.microsoft.com/office/drawing/2014/main" id="{00000000-0008-0000-0100-000005000000}"/>
            </a:ext>
          </a:extLst>
        </xdr:cNvPr>
        <xdr:cNvSpPr/>
      </xdr:nvSpPr>
      <xdr:spPr>
        <a:xfrm>
          <a:off x="2979421" y="5478780"/>
          <a:ext cx="784860" cy="75438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5</xdr:col>
      <xdr:colOff>563880</xdr:colOff>
      <xdr:row>11</xdr:row>
      <xdr:rowOff>624840</xdr:rowOff>
    </xdr:from>
    <xdr:to>
      <xdr:col>5</xdr:col>
      <xdr:colOff>665182</xdr:colOff>
      <xdr:row>11</xdr:row>
      <xdr:rowOff>693420</xdr:rowOff>
    </xdr:to>
    <xdr:cxnSp macro="">
      <xdr:nvCxnSpPr>
        <xdr:cNvPr id="6" name="Straight Connector 5">
          <a:extLst>
            <a:ext uri="{FF2B5EF4-FFF2-40B4-BE49-F238E27FC236}">
              <a16:creationId xmlns:a16="http://schemas.microsoft.com/office/drawing/2014/main" id="{00000000-0008-0000-0100-000006000000}"/>
            </a:ext>
          </a:extLst>
        </xdr:cNvPr>
        <xdr:cNvCxnSpPr/>
      </xdr:nvCxnSpPr>
      <xdr:spPr>
        <a:xfrm flipH="1" flipV="1">
          <a:off x="3398520" y="3512820"/>
          <a:ext cx="101302" cy="6858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662940</xdr:colOff>
      <xdr:row>11</xdr:row>
      <xdr:rowOff>53340</xdr:rowOff>
    </xdr:from>
    <xdr:to>
      <xdr:col>5</xdr:col>
      <xdr:colOff>667090</xdr:colOff>
      <xdr:row>11</xdr:row>
      <xdr:rowOff>687048</xdr:rowOff>
    </xdr:to>
    <xdr:cxnSp macro="">
      <xdr:nvCxnSpPr>
        <xdr:cNvPr id="7" name="Straight Connector 6">
          <a:extLst>
            <a:ext uri="{FF2B5EF4-FFF2-40B4-BE49-F238E27FC236}">
              <a16:creationId xmlns:a16="http://schemas.microsoft.com/office/drawing/2014/main" id="{00000000-0008-0000-0100-000007000000}"/>
            </a:ext>
          </a:extLst>
        </xdr:cNvPr>
        <xdr:cNvCxnSpPr/>
      </xdr:nvCxnSpPr>
      <xdr:spPr>
        <a:xfrm flipH="1" flipV="1">
          <a:off x="3497580" y="2941320"/>
          <a:ext cx="4150" cy="63370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563880</xdr:colOff>
      <xdr:row>11</xdr:row>
      <xdr:rowOff>53340</xdr:rowOff>
    </xdr:from>
    <xdr:to>
      <xdr:col>5</xdr:col>
      <xdr:colOff>670560</xdr:colOff>
      <xdr:row>11</xdr:row>
      <xdr:rowOff>144780</xdr:rowOff>
    </xdr:to>
    <xdr:cxnSp macro="">
      <xdr:nvCxnSpPr>
        <xdr:cNvPr id="8" name="Straight Connector 7">
          <a:extLst>
            <a:ext uri="{FF2B5EF4-FFF2-40B4-BE49-F238E27FC236}">
              <a16:creationId xmlns:a16="http://schemas.microsoft.com/office/drawing/2014/main" id="{00000000-0008-0000-0100-000008000000}"/>
            </a:ext>
          </a:extLst>
        </xdr:cNvPr>
        <xdr:cNvCxnSpPr/>
      </xdr:nvCxnSpPr>
      <xdr:spPr>
        <a:xfrm flipH="1">
          <a:off x="3398520" y="2941320"/>
          <a:ext cx="106680" cy="9144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68580</xdr:colOff>
      <xdr:row>34</xdr:row>
      <xdr:rowOff>327660</xdr:rowOff>
    </xdr:from>
    <xdr:to>
      <xdr:col>5</xdr:col>
      <xdr:colOff>990600</xdr:colOff>
      <xdr:row>34</xdr:row>
      <xdr:rowOff>335280</xdr:rowOff>
    </xdr:to>
    <xdr:cxnSp macro="">
      <xdr:nvCxnSpPr>
        <xdr:cNvPr id="9" name="Straight Connector 8">
          <a:extLst>
            <a:ext uri="{FF2B5EF4-FFF2-40B4-BE49-F238E27FC236}">
              <a16:creationId xmlns:a16="http://schemas.microsoft.com/office/drawing/2014/main" id="{00000000-0008-0000-0100-000009000000}"/>
            </a:ext>
          </a:extLst>
        </xdr:cNvPr>
        <xdr:cNvCxnSpPr/>
      </xdr:nvCxnSpPr>
      <xdr:spPr>
        <a:xfrm>
          <a:off x="2903220" y="9707880"/>
          <a:ext cx="922020" cy="762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441960</xdr:colOff>
      <xdr:row>47</xdr:row>
      <xdr:rowOff>0</xdr:rowOff>
    </xdr:from>
    <xdr:to>
      <xdr:col>5</xdr:col>
      <xdr:colOff>680422</xdr:colOff>
      <xdr:row>47</xdr:row>
      <xdr:rowOff>0</xdr:rowOff>
    </xdr:to>
    <xdr:cxnSp macro="">
      <xdr:nvCxnSpPr>
        <xdr:cNvPr id="10" name="Straight Connector 9">
          <a:extLst>
            <a:ext uri="{FF2B5EF4-FFF2-40B4-BE49-F238E27FC236}">
              <a16:creationId xmlns:a16="http://schemas.microsoft.com/office/drawing/2014/main" id="{00000000-0008-0000-0100-00000A000000}"/>
            </a:ext>
          </a:extLst>
        </xdr:cNvPr>
        <xdr:cNvCxnSpPr/>
      </xdr:nvCxnSpPr>
      <xdr:spPr>
        <a:xfrm flipH="1">
          <a:off x="3276600" y="13868400"/>
          <a:ext cx="238462" cy="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662940</xdr:colOff>
      <xdr:row>46</xdr:row>
      <xdr:rowOff>53340</xdr:rowOff>
    </xdr:from>
    <xdr:to>
      <xdr:col>5</xdr:col>
      <xdr:colOff>667090</xdr:colOff>
      <xdr:row>46</xdr:row>
      <xdr:rowOff>687048</xdr:rowOff>
    </xdr:to>
    <xdr:cxnSp macro="">
      <xdr:nvCxnSpPr>
        <xdr:cNvPr id="11" name="Straight Connector 10">
          <a:extLst>
            <a:ext uri="{FF2B5EF4-FFF2-40B4-BE49-F238E27FC236}">
              <a16:creationId xmlns:a16="http://schemas.microsoft.com/office/drawing/2014/main" id="{00000000-0008-0000-0100-00000B000000}"/>
            </a:ext>
          </a:extLst>
        </xdr:cNvPr>
        <xdr:cNvCxnSpPr/>
      </xdr:nvCxnSpPr>
      <xdr:spPr>
        <a:xfrm flipH="1" flipV="1">
          <a:off x="3497580" y="13395960"/>
          <a:ext cx="4150" cy="47368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144781</xdr:colOff>
      <xdr:row>50</xdr:row>
      <xdr:rowOff>137160</xdr:rowOff>
    </xdr:from>
    <xdr:to>
      <xdr:col>5</xdr:col>
      <xdr:colOff>929641</xdr:colOff>
      <xdr:row>50</xdr:row>
      <xdr:rowOff>891540</xdr:rowOff>
    </xdr:to>
    <xdr:sp macro="" textlink="">
      <xdr:nvSpPr>
        <xdr:cNvPr id="12" name="Rectangle 11">
          <a:extLst>
            <a:ext uri="{FF2B5EF4-FFF2-40B4-BE49-F238E27FC236}">
              <a16:creationId xmlns:a16="http://schemas.microsoft.com/office/drawing/2014/main" id="{00000000-0008-0000-0100-00000C000000}"/>
            </a:ext>
          </a:extLst>
        </xdr:cNvPr>
        <xdr:cNvSpPr/>
      </xdr:nvSpPr>
      <xdr:spPr>
        <a:xfrm>
          <a:off x="2979421" y="14554200"/>
          <a:ext cx="784860" cy="75438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5</xdr:col>
      <xdr:colOff>563880</xdr:colOff>
      <xdr:row>42</xdr:row>
      <xdr:rowOff>624840</xdr:rowOff>
    </xdr:from>
    <xdr:to>
      <xdr:col>5</xdr:col>
      <xdr:colOff>665182</xdr:colOff>
      <xdr:row>42</xdr:row>
      <xdr:rowOff>693420</xdr:rowOff>
    </xdr:to>
    <xdr:cxnSp macro="">
      <xdr:nvCxnSpPr>
        <xdr:cNvPr id="13" name="Straight Connector 12">
          <a:extLst>
            <a:ext uri="{FF2B5EF4-FFF2-40B4-BE49-F238E27FC236}">
              <a16:creationId xmlns:a16="http://schemas.microsoft.com/office/drawing/2014/main" id="{00000000-0008-0000-0100-00000D000000}"/>
            </a:ext>
          </a:extLst>
        </xdr:cNvPr>
        <xdr:cNvCxnSpPr/>
      </xdr:nvCxnSpPr>
      <xdr:spPr>
        <a:xfrm flipH="1" flipV="1">
          <a:off x="3398520" y="12611100"/>
          <a:ext cx="101302" cy="6858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662940</xdr:colOff>
      <xdr:row>42</xdr:row>
      <xdr:rowOff>53340</xdr:rowOff>
    </xdr:from>
    <xdr:to>
      <xdr:col>5</xdr:col>
      <xdr:colOff>667090</xdr:colOff>
      <xdr:row>42</xdr:row>
      <xdr:rowOff>687048</xdr:rowOff>
    </xdr:to>
    <xdr:cxnSp macro="">
      <xdr:nvCxnSpPr>
        <xdr:cNvPr id="14" name="Straight Connector 13">
          <a:extLst>
            <a:ext uri="{FF2B5EF4-FFF2-40B4-BE49-F238E27FC236}">
              <a16:creationId xmlns:a16="http://schemas.microsoft.com/office/drawing/2014/main" id="{00000000-0008-0000-0100-00000E000000}"/>
            </a:ext>
          </a:extLst>
        </xdr:cNvPr>
        <xdr:cNvCxnSpPr/>
      </xdr:nvCxnSpPr>
      <xdr:spPr>
        <a:xfrm flipH="1" flipV="1">
          <a:off x="3497580" y="12039600"/>
          <a:ext cx="4150" cy="63370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563880</xdr:colOff>
      <xdr:row>42</xdr:row>
      <xdr:rowOff>53340</xdr:rowOff>
    </xdr:from>
    <xdr:to>
      <xdr:col>5</xdr:col>
      <xdr:colOff>670560</xdr:colOff>
      <xdr:row>42</xdr:row>
      <xdr:rowOff>144780</xdr:rowOff>
    </xdr:to>
    <xdr:cxnSp macro="">
      <xdr:nvCxnSpPr>
        <xdr:cNvPr id="15" name="Straight Connector 14">
          <a:extLst>
            <a:ext uri="{FF2B5EF4-FFF2-40B4-BE49-F238E27FC236}">
              <a16:creationId xmlns:a16="http://schemas.microsoft.com/office/drawing/2014/main" id="{00000000-0008-0000-0100-00000F000000}"/>
            </a:ext>
          </a:extLst>
        </xdr:cNvPr>
        <xdr:cNvCxnSpPr/>
      </xdr:nvCxnSpPr>
      <xdr:spPr>
        <a:xfrm flipH="1">
          <a:off x="3398520" y="12039600"/>
          <a:ext cx="106680" cy="9144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76200</xdr:colOff>
      <xdr:row>38</xdr:row>
      <xdr:rowOff>388620</xdr:rowOff>
    </xdr:from>
    <xdr:to>
      <xdr:col>5</xdr:col>
      <xdr:colOff>998220</xdr:colOff>
      <xdr:row>38</xdr:row>
      <xdr:rowOff>396240</xdr:rowOff>
    </xdr:to>
    <xdr:cxnSp macro="">
      <xdr:nvCxnSpPr>
        <xdr:cNvPr id="16" name="Straight Connector 15">
          <a:extLst>
            <a:ext uri="{FF2B5EF4-FFF2-40B4-BE49-F238E27FC236}">
              <a16:creationId xmlns:a16="http://schemas.microsoft.com/office/drawing/2014/main" id="{00000000-0008-0000-0100-000010000000}"/>
            </a:ext>
          </a:extLst>
        </xdr:cNvPr>
        <xdr:cNvCxnSpPr/>
      </xdr:nvCxnSpPr>
      <xdr:spPr>
        <a:xfrm>
          <a:off x="2910840" y="11018520"/>
          <a:ext cx="922020" cy="762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16</xdr:row>
      <xdr:rowOff>0</xdr:rowOff>
    </xdr:from>
    <xdr:to>
      <xdr:col>8</xdr:col>
      <xdr:colOff>19050</xdr:colOff>
      <xdr:row>16</xdr:row>
      <xdr:rowOff>1588</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a:off x="1274445" y="6217920"/>
          <a:ext cx="388048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17</xdr:row>
      <xdr:rowOff>9525</xdr:rowOff>
    </xdr:from>
    <xdr:to>
      <xdr:col>8</xdr:col>
      <xdr:colOff>9525</xdr:colOff>
      <xdr:row>17</xdr:row>
      <xdr:rowOff>11113</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a:off x="1264920" y="6425565"/>
          <a:ext cx="388048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9525</xdr:colOff>
      <xdr:row>5</xdr:row>
      <xdr:rowOff>0</xdr:rowOff>
    </xdr:from>
    <xdr:to>
      <xdr:col>4</xdr:col>
      <xdr:colOff>0</xdr:colOff>
      <xdr:row>5</xdr:row>
      <xdr:rowOff>1588</xdr:rowOff>
    </xdr:to>
    <xdr:cxnSp macro="">
      <xdr:nvCxnSpPr>
        <xdr:cNvPr id="4" name="Straight Connector 3">
          <a:extLst>
            <a:ext uri="{FF2B5EF4-FFF2-40B4-BE49-F238E27FC236}">
              <a16:creationId xmlns:a16="http://schemas.microsoft.com/office/drawing/2014/main" id="{00000000-0008-0000-0200-000004000000}"/>
            </a:ext>
          </a:extLst>
        </xdr:cNvPr>
        <xdr:cNvCxnSpPr/>
      </xdr:nvCxnSpPr>
      <xdr:spPr>
        <a:xfrm>
          <a:off x="1983105" y="4038600"/>
          <a:ext cx="6000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13</xdr:row>
      <xdr:rowOff>9525</xdr:rowOff>
    </xdr:from>
    <xdr:to>
      <xdr:col>3</xdr:col>
      <xdr:colOff>19050</xdr:colOff>
      <xdr:row>13</xdr:row>
      <xdr:rowOff>11113</xdr:rowOff>
    </xdr:to>
    <xdr:cxnSp macro="">
      <xdr:nvCxnSpPr>
        <xdr:cNvPr id="5" name="Straight Connector 4">
          <a:extLst>
            <a:ext uri="{FF2B5EF4-FFF2-40B4-BE49-F238E27FC236}">
              <a16:creationId xmlns:a16="http://schemas.microsoft.com/office/drawing/2014/main" id="{00000000-0008-0000-0200-000005000000}"/>
            </a:ext>
          </a:extLst>
        </xdr:cNvPr>
        <xdr:cNvCxnSpPr/>
      </xdr:nvCxnSpPr>
      <xdr:spPr>
        <a:xfrm>
          <a:off x="1264920" y="5633085"/>
          <a:ext cx="72771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13</xdr:row>
      <xdr:rowOff>0</xdr:rowOff>
    </xdr:from>
    <xdr:to>
      <xdr:col>6</xdr:col>
      <xdr:colOff>19050</xdr:colOff>
      <xdr:row>13</xdr:row>
      <xdr:rowOff>1588</xdr:rowOff>
    </xdr:to>
    <xdr:cxnSp macro="">
      <xdr:nvCxnSpPr>
        <xdr:cNvPr id="6" name="Straight Connector 5">
          <a:extLst>
            <a:ext uri="{FF2B5EF4-FFF2-40B4-BE49-F238E27FC236}">
              <a16:creationId xmlns:a16="http://schemas.microsoft.com/office/drawing/2014/main" id="{00000000-0008-0000-0200-000006000000}"/>
            </a:ext>
          </a:extLst>
        </xdr:cNvPr>
        <xdr:cNvCxnSpPr/>
      </xdr:nvCxnSpPr>
      <xdr:spPr>
        <a:xfrm>
          <a:off x="2583180" y="5623560"/>
          <a:ext cx="1238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xdr:row>
      <xdr:rowOff>9525</xdr:rowOff>
    </xdr:from>
    <xdr:to>
      <xdr:col>7</xdr:col>
      <xdr:colOff>0</xdr:colOff>
      <xdr:row>5</xdr:row>
      <xdr:rowOff>11113</xdr:rowOff>
    </xdr:to>
    <xdr:cxnSp macro="">
      <xdr:nvCxnSpPr>
        <xdr:cNvPr id="7" name="Straight Connector 6">
          <a:extLst>
            <a:ext uri="{FF2B5EF4-FFF2-40B4-BE49-F238E27FC236}">
              <a16:creationId xmlns:a16="http://schemas.microsoft.com/office/drawing/2014/main" id="{00000000-0008-0000-0200-000007000000}"/>
            </a:ext>
          </a:extLst>
        </xdr:cNvPr>
        <xdr:cNvCxnSpPr/>
      </xdr:nvCxnSpPr>
      <xdr:spPr>
        <a:xfrm>
          <a:off x="3802380" y="4048125"/>
          <a:ext cx="67818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13</xdr:row>
      <xdr:rowOff>0</xdr:rowOff>
    </xdr:from>
    <xdr:to>
      <xdr:col>8</xdr:col>
      <xdr:colOff>9525</xdr:colOff>
      <xdr:row>13</xdr:row>
      <xdr:rowOff>1588</xdr:rowOff>
    </xdr:to>
    <xdr:cxnSp macro="">
      <xdr:nvCxnSpPr>
        <xdr:cNvPr id="8" name="Straight Connector 7">
          <a:extLst>
            <a:ext uri="{FF2B5EF4-FFF2-40B4-BE49-F238E27FC236}">
              <a16:creationId xmlns:a16="http://schemas.microsoft.com/office/drawing/2014/main" id="{00000000-0008-0000-0200-000008000000}"/>
            </a:ext>
          </a:extLst>
        </xdr:cNvPr>
        <xdr:cNvCxnSpPr/>
      </xdr:nvCxnSpPr>
      <xdr:spPr>
        <a:xfrm>
          <a:off x="4480560" y="5623560"/>
          <a:ext cx="66484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975360</xdr:colOff>
      <xdr:row>5</xdr:row>
      <xdr:rowOff>7620</xdr:rowOff>
    </xdr:from>
    <xdr:to>
      <xdr:col>1</xdr:col>
      <xdr:colOff>1495425</xdr:colOff>
      <xdr:row>5</xdr:row>
      <xdr:rowOff>9208</xdr:rowOff>
    </xdr:to>
    <xdr:cxnSp macro="">
      <xdr:nvCxnSpPr>
        <xdr:cNvPr id="9" name="Straight Connector 8">
          <a:extLst>
            <a:ext uri="{FF2B5EF4-FFF2-40B4-BE49-F238E27FC236}">
              <a16:creationId xmlns:a16="http://schemas.microsoft.com/office/drawing/2014/main" id="{00000000-0008-0000-0200-000009000000}"/>
            </a:ext>
          </a:extLst>
        </xdr:cNvPr>
        <xdr:cNvCxnSpPr/>
      </xdr:nvCxnSpPr>
      <xdr:spPr>
        <a:xfrm>
          <a:off x="1356360" y="830580"/>
          <a:ext cx="52006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5</xdr:row>
      <xdr:rowOff>38100</xdr:rowOff>
    </xdr:from>
    <xdr:to>
      <xdr:col>8</xdr:col>
      <xdr:colOff>581025</xdr:colOff>
      <xdr:row>5</xdr:row>
      <xdr:rowOff>39688</xdr:rowOff>
    </xdr:to>
    <xdr:cxnSp macro="">
      <xdr:nvCxnSpPr>
        <xdr:cNvPr id="10" name="Straight Connector 9">
          <a:extLst>
            <a:ext uri="{FF2B5EF4-FFF2-40B4-BE49-F238E27FC236}">
              <a16:creationId xmlns:a16="http://schemas.microsoft.com/office/drawing/2014/main" id="{00000000-0008-0000-0200-00000A000000}"/>
            </a:ext>
          </a:extLst>
        </xdr:cNvPr>
        <xdr:cNvCxnSpPr/>
      </xdr:nvCxnSpPr>
      <xdr:spPr>
        <a:xfrm>
          <a:off x="5240655" y="4076700"/>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6</xdr:row>
      <xdr:rowOff>0</xdr:rowOff>
    </xdr:from>
    <xdr:to>
      <xdr:col>8</xdr:col>
      <xdr:colOff>590550</xdr:colOff>
      <xdr:row>6</xdr:row>
      <xdr:rowOff>1588</xdr:rowOff>
    </xdr:to>
    <xdr:cxnSp macro="">
      <xdr:nvCxnSpPr>
        <xdr:cNvPr id="11" name="Straight Connector 10">
          <a:extLst>
            <a:ext uri="{FF2B5EF4-FFF2-40B4-BE49-F238E27FC236}">
              <a16:creationId xmlns:a16="http://schemas.microsoft.com/office/drawing/2014/main" id="{00000000-0008-0000-0200-00000B000000}"/>
            </a:ext>
          </a:extLst>
        </xdr:cNvPr>
        <xdr:cNvCxnSpPr/>
      </xdr:nvCxnSpPr>
      <xdr:spPr>
        <a:xfrm>
          <a:off x="5240655" y="4236720"/>
          <a:ext cx="4857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8</xdr:row>
      <xdr:rowOff>0</xdr:rowOff>
    </xdr:from>
    <xdr:to>
      <xdr:col>3</xdr:col>
      <xdr:colOff>9525</xdr:colOff>
      <xdr:row>8</xdr:row>
      <xdr:rowOff>1588</xdr:rowOff>
    </xdr:to>
    <xdr:cxnSp macro="">
      <xdr:nvCxnSpPr>
        <xdr:cNvPr id="12" name="Straight Connector 11">
          <a:extLst>
            <a:ext uri="{FF2B5EF4-FFF2-40B4-BE49-F238E27FC236}">
              <a16:creationId xmlns:a16="http://schemas.microsoft.com/office/drawing/2014/main" id="{00000000-0008-0000-0200-00000C000000}"/>
            </a:ext>
          </a:extLst>
        </xdr:cNvPr>
        <xdr:cNvCxnSpPr/>
      </xdr:nvCxnSpPr>
      <xdr:spPr>
        <a:xfrm>
          <a:off x="1264920" y="4632960"/>
          <a:ext cx="71818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600075</xdr:colOff>
      <xdr:row>8</xdr:row>
      <xdr:rowOff>0</xdr:rowOff>
    </xdr:from>
    <xdr:to>
      <xdr:col>6</xdr:col>
      <xdr:colOff>0</xdr:colOff>
      <xdr:row>8</xdr:row>
      <xdr:rowOff>1588</xdr:rowOff>
    </xdr:to>
    <xdr:cxnSp macro="">
      <xdr:nvCxnSpPr>
        <xdr:cNvPr id="13" name="Straight Connector 12">
          <a:extLst>
            <a:ext uri="{FF2B5EF4-FFF2-40B4-BE49-F238E27FC236}">
              <a16:creationId xmlns:a16="http://schemas.microsoft.com/office/drawing/2014/main" id="{00000000-0008-0000-0200-00000D000000}"/>
            </a:ext>
          </a:extLst>
        </xdr:cNvPr>
        <xdr:cNvCxnSpPr/>
      </xdr:nvCxnSpPr>
      <xdr:spPr>
        <a:xfrm>
          <a:off x="2573655" y="4632960"/>
          <a:ext cx="1228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8</xdr:row>
      <xdr:rowOff>9525</xdr:rowOff>
    </xdr:from>
    <xdr:to>
      <xdr:col>8</xdr:col>
      <xdr:colOff>19050</xdr:colOff>
      <xdr:row>8</xdr:row>
      <xdr:rowOff>11113</xdr:rowOff>
    </xdr:to>
    <xdr:cxnSp macro="">
      <xdr:nvCxnSpPr>
        <xdr:cNvPr id="14" name="Straight Connector 13">
          <a:extLst>
            <a:ext uri="{FF2B5EF4-FFF2-40B4-BE49-F238E27FC236}">
              <a16:creationId xmlns:a16="http://schemas.microsoft.com/office/drawing/2014/main" id="{00000000-0008-0000-0200-00000E000000}"/>
            </a:ext>
          </a:extLst>
        </xdr:cNvPr>
        <xdr:cNvCxnSpPr/>
      </xdr:nvCxnSpPr>
      <xdr:spPr>
        <a:xfrm>
          <a:off x="4480560" y="4642485"/>
          <a:ext cx="67437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123825</xdr:colOff>
      <xdr:row>8</xdr:row>
      <xdr:rowOff>9525</xdr:rowOff>
    </xdr:from>
    <xdr:to>
      <xdr:col>8</xdr:col>
      <xdr:colOff>581025</xdr:colOff>
      <xdr:row>8</xdr:row>
      <xdr:rowOff>11113</xdr:rowOff>
    </xdr:to>
    <xdr:cxnSp macro="">
      <xdr:nvCxnSpPr>
        <xdr:cNvPr id="15" name="Straight Connector 14">
          <a:extLst>
            <a:ext uri="{FF2B5EF4-FFF2-40B4-BE49-F238E27FC236}">
              <a16:creationId xmlns:a16="http://schemas.microsoft.com/office/drawing/2014/main" id="{00000000-0008-0000-0200-00000F000000}"/>
            </a:ext>
          </a:extLst>
        </xdr:cNvPr>
        <xdr:cNvCxnSpPr/>
      </xdr:nvCxnSpPr>
      <xdr:spPr>
        <a:xfrm>
          <a:off x="5259705" y="4642485"/>
          <a:ext cx="4572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133350</xdr:colOff>
      <xdr:row>13</xdr:row>
      <xdr:rowOff>0</xdr:rowOff>
    </xdr:from>
    <xdr:to>
      <xdr:col>8</xdr:col>
      <xdr:colOff>590550</xdr:colOff>
      <xdr:row>13</xdr:row>
      <xdr:rowOff>1588</xdr:rowOff>
    </xdr:to>
    <xdr:cxnSp macro="">
      <xdr:nvCxnSpPr>
        <xdr:cNvPr id="16" name="Straight Connector 15">
          <a:extLst>
            <a:ext uri="{FF2B5EF4-FFF2-40B4-BE49-F238E27FC236}">
              <a16:creationId xmlns:a16="http://schemas.microsoft.com/office/drawing/2014/main" id="{00000000-0008-0000-0200-000010000000}"/>
            </a:ext>
          </a:extLst>
        </xdr:cNvPr>
        <xdr:cNvCxnSpPr/>
      </xdr:nvCxnSpPr>
      <xdr:spPr>
        <a:xfrm>
          <a:off x="5269230" y="5623560"/>
          <a:ext cx="4572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114300</xdr:colOff>
      <xdr:row>16</xdr:row>
      <xdr:rowOff>9525</xdr:rowOff>
    </xdr:from>
    <xdr:to>
      <xdr:col>8</xdr:col>
      <xdr:colOff>590550</xdr:colOff>
      <xdr:row>16</xdr:row>
      <xdr:rowOff>11113</xdr:rowOff>
    </xdr:to>
    <xdr:cxnSp macro="">
      <xdr:nvCxnSpPr>
        <xdr:cNvPr id="17" name="Straight Connector 16">
          <a:extLst>
            <a:ext uri="{FF2B5EF4-FFF2-40B4-BE49-F238E27FC236}">
              <a16:creationId xmlns:a16="http://schemas.microsoft.com/office/drawing/2014/main" id="{00000000-0008-0000-0200-000011000000}"/>
            </a:ext>
          </a:extLst>
        </xdr:cNvPr>
        <xdr:cNvCxnSpPr/>
      </xdr:nvCxnSpPr>
      <xdr:spPr>
        <a:xfrm>
          <a:off x="5250180" y="622744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114300</xdr:colOff>
      <xdr:row>17</xdr:row>
      <xdr:rowOff>0</xdr:rowOff>
    </xdr:from>
    <xdr:to>
      <xdr:col>8</xdr:col>
      <xdr:colOff>581025</xdr:colOff>
      <xdr:row>17</xdr:row>
      <xdr:rowOff>1588</xdr:rowOff>
    </xdr:to>
    <xdr:cxnSp macro="">
      <xdr:nvCxnSpPr>
        <xdr:cNvPr id="18" name="Straight Connector 17">
          <a:extLst>
            <a:ext uri="{FF2B5EF4-FFF2-40B4-BE49-F238E27FC236}">
              <a16:creationId xmlns:a16="http://schemas.microsoft.com/office/drawing/2014/main" id="{00000000-0008-0000-0200-000012000000}"/>
            </a:ext>
          </a:extLst>
        </xdr:cNvPr>
        <xdr:cNvCxnSpPr/>
      </xdr:nvCxnSpPr>
      <xdr:spPr>
        <a:xfrm>
          <a:off x="5250180" y="6416040"/>
          <a:ext cx="466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275431</xdr:colOff>
      <xdr:row>3</xdr:row>
      <xdr:rowOff>0</xdr:rowOff>
    </xdr:from>
    <xdr:to>
      <xdr:col>3</xdr:col>
      <xdr:colOff>285750</xdr:colOff>
      <xdr:row>4</xdr:row>
      <xdr:rowOff>124619</xdr:rowOff>
    </xdr:to>
    <xdr:cxnSp macro="">
      <xdr:nvCxnSpPr>
        <xdr:cNvPr id="19" name="Straight Connector 18">
          <a:extLst>
            <a:ext uri="{FF2B5EF4-FFF2-40B4-BE49-F238E27FC236}">
              <a16:creationId xmlns:a16="http://schemas.microsoft.com/office/drawing/2014/main" id="{00000000-0008-0000-0200-000013000000}"/>
            </a:ext>
          </a:extLst>
        </xdr:cNvPr>
        <xdr:cNvCxnSpPr/>
      </xdr:nvCxnSpPr>
      <xdr:spPr>
        <a:xfrm flipH="1">
          <a:off x="2249011" y="3642360"/>
          <a:ext cx="10319" cy="32273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323057</xdr:colOff>
      <xdr:row>3</xdr:row>
      <xdr:rowOff>0</xdr:rowOff>
    </xdr:from>
    <xdr:to>
      <xdr:col>6</xdr:col>
      <xdr:colOff>323850</xdr:colOff>
      <xdr:row>4</xdr:row>
      <xdr:rowOff>134143</xdr:rowOff>
    </xdr:to>
    <xdr:cxnSp macro="">
      <xdr:nvCxnSpPr>
        <xdr:cNvPr id="20" name="Straight Connector 19">
          <a:extLst>
            <a:ext uri="{FF2B5EF4-FFF2-40B4-BE49-F238E27FC236}">
              <a16:creationId xmlns:a16="http://schemas.microsoft.com/office/drawing/2014/main" id="{00000000-0008-0000-0200-000014000000}"/>
            </a:ext>
          </a:extLst>
        </xdr:cNvPr>
        <xdr:cNvCxnSpPr/>
      </xdr:nvCxnSpPr>
      <xdr:spPr>
        <a:xfrm flipH="1">
          <a:off x="4125437" y="3642360"/>
          <a:ext cx="793" cy="3322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7620</xdr:colOff>
      <xdr:row>18</xdr:row>
      <xdr:rowOff>53340</xdr:rowOff>
    </xdr:from>
    <xdr:to>
      <xdr:col>2</xdr:col>
      <xdr:colOff>9524</xdr:colOff>
      <xdr:row>20</xdr:row>
      <xdr:rowOff>0</xdr:rowOff>
    </xdr:to>
    <xdr:cxnSp macro="">
      <xdr:nvCxnSpPr>
        <xdr:cNvPr id="21" name="Straight Connector 20">
          <a:extLst>
            <a:ext uri="{FF2B5EF4-FFF2-40B4-BE49-F238E27FC236}">
              <a16:creationId xmlns:a16="http://schemas.microsoft.com/office/drawing/2014/main" id="{00000000-0008-0000-0200-000015000000}"/>
            </a:ext>
          </a:extLst>
        </xdr:cNvPr>
        <xdr:cNvCxnSpPr/>
      </xdr:nvCxnSpPr>
      <xdr:spPr>
        <a:xfrm>
          <a:off x="1927860" y="3649980"/>
          <a:ext cx="1904" cy="3429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xdr:colOff>
      <xdr:row>18</xdr:row>
      <xdr:rowOff>3</xdr:rowOff>
    </xdr:from>
    <xdr:to>
      <xdr:col>8</xdr:col>
      <xdr:colOff>2</xdr:colOff>
      <xdr:row>20</xdr:row>
      <xdr:rowOff>0</xdr:rowOff>
    </xdr:to>
    <xdr:cxnSp macro="">
      <xdr:nvCxnSpPr>
        <xdr:cNvPr id="22" name="Straight Connector 21">
          <a:extLst>
            <a:ext uri="{FF2B5EF4-FFF2-40B4-BE49-F238E27FC236}">
              <a16:creationId xmlns:a16="http://schemas.microsoft.com/office/drawing/2014/main" id="{00000000-0008-0000-0200-000016000000}"/>
            </a:ext>
          </a:extLst>
        </xdr:cNvPr>
        <xdr:cNvCxnSpPr/>
      </xdr:nvCxnSpPr>
      <xdr:spPr>
        <a:xfrm rot="5400000">
          <a:off x="4937763" y="7010401"/>
          <a:ext cx="396237"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935355</xdr:colOff>
      <xdr:row>17</xdr:row>
      <xdr:rowOff>186690</xdr:rowOff>
    </xdr:from>
    <xdr:to>
      <xdr:col>1</xdr:col>
      <xdr:colOff>1402080</xdr:colOff>
      <xdr:row>17</xdr:row>
      <xdr:rowOff>190500</xdr:rowOff>
    </xdr:to>
    <xdr:cxnSp macro="">
      <xdr:nvCxnSpPr>
        <xdr:cNvPr id="23" name="Straight Connector 22">
          <a:extLst>
            <a:ext uri="{FF2B5EF4-FFF2-40B4-BE49-F238E27FC236}">
              <a16:creationId xmlns:a16="http://schemas.microsoft.com/office/drawing/2014/main" id="{00000000-0008-0000-0200-000017000000}"/>
            </a:ext>
          </a:extLst>
        </xdr:cNvPr>
        <xdr:cNvCxnSpPr/>
      </xdr:nvCxnSpPr>
      <xdr:spPr>
        <a:xfrm flipH="1" flipV="1">
          <a:off x="1316355" y="3387090"/>
          <a:ext cx="466725" cy="381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19</xdr:row>
      <xdr:rowOff>9525</xdr:rowOff>
    </xdr:from>
    <xdr:to>
      <xdr:col>8</xdr:col>
      <xdr:colOff>19050</xdr:colOff>
      <xdr:row>19</xdr:row>
      <xdr:rowOff>11113</xdr:rowOff>
    </xdr:to>
    <xdr:cxnSp macro="">
      <xdr:nvCxnSpPr>
        <xdr:cNvPr id="24" name="Straight Arrow Connector 23">
          <a:extLst>
            <a:ext uri="{FF2B5EF4-FFF2-40B4-BE49-F238E27FC236}">
              <a16:creationId xmlns:a16="http://schemas.microsoft.com/office/drawing/2014/main" id="{00000000-0008-0000-0200-000018000000}"/>
            </a:ext>
          </a:extLst>
        </xdr:cNvPr>
        <xdr:cNvCxnSpPr/>
      </xdr:nvCxnSpPr>
      <xdr:spPr>
        <a:xfrm>
          <a:off x="1274445" y="7019925"/>
          <a:ext cx="388048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276225</xdr:colOff>
      <xdr:row>3</xdr:row>
      <xdr:rowOff>171450</xdr:rowOff>
    </xdr:from>
    <xdr:to>
      <xdr:col>6</xdr:col>
      <xdr:colOff>333375</xdr:colOff>
      <xdr:row>3</xdr:row>
      <xdr:rowOff>173038</xdr:rowOff>
    </xdr:to>
    <xdr:cxnSp macro="">
      <xdr:nvCxnSpPr>
        <xdr:cNvPr id="25" name="Straight Arrow Connector 24">
          <a:extLst>
            <a:ext uri="{FF2B5EF4-FFF2-40B4-BE49-F238E27FC236}">
              <a16:creationId xmlns:a16="http://schemas.microsoft.com/office/drawing/2014/main" id="{00000000-0008-0000-0200-000019000000}"/>
            </a:ext>
          </a:extLst>
        </xdr:cNvPr>
        <xdr:cNvCxnSpPr/>
      </xdr:nvCxnSpPr>
      <xdr:spPr>
        <a:xfrm>
          <a:off x="2249805" y="3813810"/>
          <a:ext cx="188595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656431</xdr:colOff>
      <xdr:row>5</xdr:row>
      <xdr:rowOff>10319</xdr:rowOff>
    </xdr:from>
    <xdr:to>
      <xdr:col>7</xdr:col>
      <xdr:colOff>794</xdr:colOff>
      <xdr:row>13</xdr:row>
      <xdr:rowOff>10319</xdr:rowOff>
    </xdr:to>
    <xdr:cxnSp macro="">
      <xdr:nvCxnSpPr>
        <xdr:cNvPr id="26" name="Straight Connector 25">
          <a:extLst>
            <a:ext uri="{FF2B5EF4-FFF2-40B4-BE49-F238E27FC236}">
              <a16:creationId xmlns:a16="http://schemas.microsoft.com/office/drawing/2014/main" id="{00000000-0008-0000-0200-00001A000000}"/>
            </a:ext>
          </a:extLst>
        </xdr:cNvPr>
        <xdr:cNvCxnSpPr/>
      </xdr:nvCxnSpPr>
      <xdr:spPr>
        <a:xfrm rot="5400000">
          <a:off x="3677603" y="4830127"/>
          <a:ext cx="1584960" cy="2254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599281</xdr:colOff>
      <xdr:row>5</xdr:row>
      <xdr:rowOff>10319</xdr:rowOff>
    </xdr:from>
    <xdr:to>
      <xdr:col>5</xdr:col>
      <xdr:colOff>600869</xdr:colOff>
      <xdr:row>13</xdr:row>
      <xdr:rowOff>10319</xdr:rowOff>
    </xdr:to>
    <xdr:cxnSp macro="">
      <xdr:nvCxnSpPr>
        <xdr:cNvPr id="27" name="Straight Connector 26">
          <a:extLst>
            <a:ext uri="{FF2B5EF4-FFF2-40B4-BE49-F238E27FC236}">
              <a16:creationId xmlns:a16="http://schemas.microsoft.com/office/drawing/2014/main" id="{00000000-0008-0000-0200-00001B000000}"/>
            </a:ext>
          </a:extLst>
        </xdr:cNvPr>
        <xdr:cNvCxnSpPr/>
      </xdr:nvCxnSpPr>
      <xdr:spPr>
        <a:xfrm rot="5400000">
          <a:off x="3000375" y="4840605"/>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8731</xdr:colOff>
      <xdr:row>5</xdr:row>
      <xdr:rowOff>10319</xdr:rowOff>
    </xdr:from>
    <xdr:to>
      <xdr:col>3</xdr:col>
      <xdr:colOff>10319</xdr:colOff>
      <xdr:row>13</xdr:row>
      <xdr:rowOff>10319</xdr:rowOff>
    </xdr:to>
    <xdr:cxnSp macro="">
      <xdr:nvCxnSpPr>
        <xdr:cNvPr id="28" name="Straight Connector 27">
          <a:extLst>
            <a:ext uri="{FF2B5EF4-FFF2-40B4-BE49-F238E27FC236}">
              <a16:creationId xmlns:a16="http://schemas.microsoft.com/office/drawing/2014/main" id="{00000000-0008-0000-0200-00001C000000}"/>
            </a:ext>
          </a:extLst>
        </xdr:cNvPr>
        <xdr:cNvCxnSpPr/>
      </xdr:nvCxnSpPr>
      <xdr:spPr>
        <a:xfrm rot="5400000">
          <a:off x="1190625" y="4840605"/>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608806</xdr:colOff>
      <xdr:row>5</xdr:row>
      <xdr:rowOff>794</xdr:rowOff>
    </xdr:from>
    <xdr:to>
      <xdr:col>4</xdr:col>
      <xdr:colOff>794</xdr:colOff>
      <xdr:row>13</xdr:row>
      <xdr:rowOff>794</xdr:rowOff>
    </xdr:to>
    <xdr:cxnSp macro="">
      <xdr:nvCxnSpPr>
        <xdr:cNvPr id="29" name="Straight Connector 28">
          <a:extLst>
            <a:ext uri="{FF2B5EF4-FFF2-40B4-BE49-F238E27FC236}">
              <a16:creationId xmlns:a16="http://schemas.microsoft.com/office/drawing/2014/main" id="{00000000-0008-0000-0200-00001D000000}"/>
            </a:ext>
          </a:extLst>
        </xdr:cNvPr>
        <xdr:cNvCxnSpPr/>
      </xdr:nvCxnSpPr>
      <xdr:spPr>
        <a:xfrm rot="5400000">
          <a:off x="1790700" y="4831080"/>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10319</xdr:colOff>
      <xdr:row>13</xdr:row>
      <xdr:rowOff>793</xdr:rowOff>
    </xdr:from>
    <xdr:to>
      <xdr:col>8</xdr:col>
      <xdr:colOff>19050</xdr:colOff>
      <xdr:row>18</xdr:row>
      <xdr:rowOff>0</xdr:rowOff>
    </xdr:to>
    <xdr:cxnSp macro="">
      <xdr:nvCxnSpPr>
        <xdr:cNvPr id="30" name="Straight Connector 29">
          <a:extLst>
            <a:ext uri="{FF2B5EF4-FFF2-40B4-BE49-F238E27FC236}">
              <a16:creationId xmlns:a16="http://schemas.microsoft.com/office/drawing/2014/main" id="{00000000-0008-0000-0200-00001E000000}"/>
            </a:ext>
          </a:extLst>
        </xdr:cNvPr>
        <xdr:cNvCxnSpPr/>
      </xdr:nvCxnSpPr>
      <xdr:spPr>
        <a:xfrm rot="16200000" flipH="1">
          <a:off x="4646137" y="6124415"/>
          <a:ext cx="1008856" cy="873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13</xdr:row>
      <xdr:rowOff>0</xdr:rowOff>
    </xdr:from>
    <xdr:to>
      <xdr:col>2</xdr:col>
      <xdr:colOff>7620</xdr:colOff>
      <xdr:row>17</xdr:row>
      <xdr:rowOff>180974</xdr:rowOff>
    </xdr:to>
    <xdr:cxnSp macro="">
      <xdr:nvCxnSpPr>
        <xdr:cNvPr id="31" name="Straight Connector 30">
          <a:extLst>
            <a:ext uri="{FF2B5EF4-FFF2-40B4-BE49-F238E27FC236}">
              <a16:creationId xmlns:a16="http://schemas.microsoft.com/office/drawing/2014/main" id="{00000000-0008-0000-0200-00001F000000}"/>
            </a:ext>
          </a:extLst>
        </xdr:cNvPr>
        <xdr:cNvCxnSpPr/>
      </xdr:nvCxnSpPr>
      <xdr:spPr>
        <a:xfrm flipH="1">
          <a:off x="1920240" y="2407920"/>
          <a:ext cx="7620" cy="97345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17</xdr:row>
      <xdr:rowOff>190500</xdr:rowOff>
    </xdr:from>
    <xdr:to>
      <xdr:col>8</xdr:col>
      <xdr:colOff>542925</xdr:colOff>
      <xdr:row>18</xdr:row>
      <xdr:rowOff>0</xdr:rowOff>
    </xdr:to>
    <xdr:cxnSp macro="">
      <xdr:nvCxnSpPr>
        <xdr:cNvPr id="33" name="Straight Connector 32">
          <a:extLst>
            <a:ext uri="{FF2B5EF4-FFF2-40B4-BE49-F238E27FC236}">
              <a16:creationId xmlns:a16="http://schemas.microsoft.com/office/drawing/2014/main" id="{00000000-0008-0000-0200-000021000000}"/>
            </a:ext>
          </a:extLst>
        </xdr:cNvPr>
        <xdr:cNvCxnSpPr/>
      </xdr:nvCxnSpPr>
      <xdr:spPr>
        <a:xfrm flipV="1">
          <a:off x="5135880" y="6606540"/>
          <a:ext cx="542925" cy="76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1203960</xdr:colOff>
      <xdr:row>5</xdr:row>
      <xdr:rowOff>15240</xdr:rowOff>
    </xdr:from>
    <xdr:to>
      <xdr:col>1</xdr:col>
      <xdr:colOff>1203960</xdr:colOff>
      <xdr:row>17</xdr:row>
      <xdr:rowOff>190503</xdr:rowOff>
    </xdr:to>
    <xdr:cxnSp macro="">
      <xdr:nvCxnSpPr>
        <xdr:cNvPr id="34" name="Straight Arrow Connector 33">
          <a:extLst>
            <a:ext uri="{FF2B5EF4-FFF2-40B4-BE49-F238E27FC236}">
              <a16:creationId xmlns:a16="http://schemas.microsoft.com/office/drawing/2014/main" id="{00000000-0008-0000-0200-000022000000}"/>
            </a:ext>
          </a:extLst>
        </xdr:cNvPr>
        <xdr:cNvCxnSpPr/>
      </xdr:nvCxnSpPr>
      <xdr:spPr>
        <a:xfrm>
          <a:off x="1584960" y="838200"/>
          <a:ext cx="0" cy="2552703"/>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114300</xdr:colOff>
      <xdr:row>17</xdr:row>
      <xdr:rowOff>9525</xdr:rowOff>
    </xdr:from>
    <xdr:to>
      <xdr:col>8</xdr:col>
      <xdr:colOff>590550</xdr:colOff>
      <xdr:row>17</xdr:row>
      <xdr:rowOff>11113</xdr:rowOff>
    </xdr:to>
    <xdr:cxnSp macro="">
      <xdr:nvCxnSpPr>
        <xdr:cNvPr id="35" name="Straight Connector 34">
          <a:extLst>
            <a:ext uri="{FF2B5EF4-FFF2-40B4-BE49-F238E27FC236}">
              <a16:creationId xmlns:a16="http://schemas.microsoft.com/office/drawing/2014/main" id="{00000000-0008-0000-0200-000023000000}"/>
            </a:ext>
          </a:extLst>
        </xdr:cNvPr>
        <xdr:cNvCxnSpPr/>
      </xdr:nvCxnSpPr>
      <xdr:spPr>
        <a:xfrm>
          <a:off x="5250180" y="642556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8</xdr:row>
      <xdr:rowOff>0</xdr:rowOff>
    </xdr:from>
    <xdr:to>
      <xdr:col>6</xdr:col>
      <xdr:colOff>9525</xdr:colOff>
      <xdr:row>8</xdr:row>
      <xdr:rowOff>1588</xdr:rowOff>
    </xdr:to>
    <xdr:cxnSp macro="">
      <xdr:nvCxnSpPr>
        <xdr:cNvPr id="42" name="Straight Connector 41">
          <a:extLst>
            <a:ext uri="{FF2B5EF4-FFF2-40B4-BE49-F238E27FC236}">
              <a16:creationId xmlns:a16="http://schemas.microsoft.com/office/drawing/2014/main" id="{00000000-0008-0000-0200-00002A000000}"/>
            </a:ext>
          </a:extLst>
        </xdr:cNvPr>
        <xdr:cNvCxnSpPr/>
      </xdr:nvCxnSpPr>
      <xdr:spPr>
        <a:xfrm>
          <a:off x="1920240" y="1874520"/>
          <a:ext cx="619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58</xdr:row>
      <xdr:rowOff>0</xdr:rowOff>
    </xdr:from>
    <xdr:to>
      <xdr:col>8</xdr:col>
      <xdr:colOff>19050</xdr:colOff>
      <xdr:row>58</xdr:row>
      <xdr:rowOff>1588</xdr:rowOff>
    </xdr:to>
    <xdr:cxnSp macro="">
      <xdr:nvCxnSpPr>
        <xdr:cNvPr id="43" name="Straight Connector 42">
          <a:extLst>
            <a:ext uri="{FF2B5EF4-FFF2-40B4-BE49-F238E27FC236}">
              <a16:creationId xmlns:a16="http://schemas.microsoft.com/office/drawing/2014/main" id="{00000000-0008-0000-0200-00002B000000}"/>
            </a:ext>
          </a:extLst>
        </xdr:cNvPr>
        <xdr:cNvCxnSpPr/>
      </xdr:nvCxnSpPr>
      <xdr:spPr>
        <a:xfrm>
          <a:off x="1228725" y="8435340"/>
          <a:ext cx="3667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59</xdr:row>
      <xdr:rowOff>9525</xdr:rowOff>
    </xdr:from>
    <xdr:to>
      <xdr:col>8</xdr:col>
      <xdr:colOff>9525</xdr:colOff>
      <xdr:row>59</xdr:row>
      <xdr:rowOff>11113</xdr:rowOff>
    </xdr:to>
    <xdr:cxnSp macro="">
      <xdr:nvCxnSpPr>
        <xdr:cNvPr id="44" name="Straight Connector 43">
          <a:extLst>
            <a:ext uri="{FF2B5EF4-FFF2-40B4-BE49-F238E27FC236}">
              <a16:creationId xmlns:a16="http://schemas.microsoft.com/office/drawing/2014/main" id="{00000000-0008-0000-0200-00002C000000}"/>
            </a:ext>
          </a:extLst>
        </xdr:cNvPr>
        <xdr:cNvCxnSpPr/>
      </xdr:nvCxnSpPr>
      <xdr:spPr>
        <a:xfrm>
          <a:off x="1219200" y="8642985"/>
          <a:ext cx="3667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9525</xdr:colOff>
      <xdr:row>47</xdr:row>
      <xdr:rowOff>0</xdr:rowOff>
    </xdr:from>
    <xdr:to>
      <xdr:col>4</xdr:col>
      <xdr:colOff>0</xdr:colOff>
      <xdr:row>47</xdr:row>
      <xdr:rowOff>1588</xdr:rowOff>
    </xdr:to>
    <xdr:cxnSp macro="">
      <xdr:nvCxnSpPr>
        <xdr:cNvPr id="45" name="Straight Connector 44">
          <a:extLst>
            <a:ext uri="{FF2B5EF4-FFF2-40B4-BE49-F238E27FC236}">
              <a16:creationId xmlns:a16="http://schemas.microsoft.com/office/drawing/2014/main" id="{00000000-0008-0000-0200-00002D000000}"/>
            </a:ext>
          </a:extLst>
        </xdr:cNvPr>
        <xdr:cNvCxnSpPr/>
      </xdr:nvCxnSpPr>
      <xdr:spPr>
        <a:xfrm>
          <a:off x="1838325" y="6256020"/>
          <a:ext cx="6000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55</xdr:row>
      <xdr:rowOff>9525</xdr:rowOff>
    </xdr:from>
    <xdr:to>
      <xdr:col>3</xdr:col>
      <xdr:colOff>19050</xdr:colOff>
      <xdr:row>55</xdr:row>
      <xdr:rowOff>11113</xdr:rowOff>
    </xdr:to>
    <xdr:cxnSp macro="">
      <xdr:nvCxnSpPr>
        <xdr:cNvPr id="46" name="Straight Connector 45">
          <a:extLst>
            <a:ext uri="{FF2B5EF4-FFF2-40B4-BE49-F238E27FC236}">
              <a16:creationId xmlns:a16="http://schemas.microsoft.com/office/drawing/2014/main" id="{00000000-0008-0000-0200-00002E000000}"/>
            </a:ext>
          </a:extLst>
        </xdr:cNvPr>
        <xdr:cNvCxnSpPr/>
      </xdr:nvCxnSpPr>
      <xdr:spPr>
        <a:xfrm>
          <a:off x="1219200" y="7850505"/>
          <a:ext cx="628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55</xdr:row>
      <xdr:rowOff>0</xdr:rowOff>
    </xdr:from>
    <xdr:to>
      <xdr:col>6</xdr:col>
      <xdr:colOff>19050</xdr:colOff>
      <xdr:row>55</xdr:row>
      <xdr:rowOff>1588</xdr:rowOff>
    </xdr:to>
    <xdr:cxnSp macro="">
      <xdr:nvCxnSpPr>
        <xdr:cNvPr id="47" name="Straight Connector 46">
          <a:extLst>
            <a:ext uri="{FF2B5EF4-FFF2-40B4-BE49-F238E27FC236}">
              <a16:creationId xmlns:a16="http://schemas.microsoft.com/office/drawing/2014/main" id="{00000000-0008-0000-0200-00002F000000}"/>
            </a:ext>
          </a:extLst>
        </xdr:cNvPr>
        <xdr:cNvCxnSpPr/>
      </xdr:nvCxnSpPr>
      <xdr:spPr>
        <a:xfrm>
          <a:off x="2438400" y="7840980"/>
          <a:ext cx="1238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47</xdr:row>
      <xdr:rowOff>9525</xdr:rowOff>
    </xdr:from>
    <xdr:to>
      <xdr:col>7</xdr:col>
      <xdr:colOff>0</xdr:colOff>
      <xdr:row>47</xdr:row>
      <xdr:rowOff>11113</xdr:rowOff>
    </xdr:to>
    <xdr:cxnSp macro="">
      <xdr:nvCxnSpPr>
        <xdr:cNvPr id="48" name="Straight Connector 47">
          <a:extLst>
            <a:ext uri="{FF2B5EF4-FFF2-40B4-BE49-F238E27FC236}">
              <a16:creationId xmlns:a16="http://schemas.microsoft.com/office/drawing/2014/main" id="{00000000-0008-0000-0200-000030000000}"/>
            </a:ext>
          </a:extLst>
        </xdr:cNvPr>
        <xdr:cNvCxnSpPr/>
      </xdr:nvCxnSpPr>
      <xdr:spPr>
        <a:xfrm>
          <a:off x="3657600" y="6265545"/>
          <a:ext cx="6096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55</xdr:row>
      <xdr:rowOff>0</xdr:rowOff>
    </xdr:from>
    <xdr:to>
      <xdr:col>8</xdr:col>
      <xdr:colOff>9525</xdr:colOff>
      <xdr:row>55</xdr:row>
      <xdr:rowOff>1588</xdr:rowOff>
    </xdr:to>
    <xdr:cxnSp macro="">
      <xdr:nvCxnSpPr>
        <xdr:cNvPr id="49" name="Straight Connector 48">
          <a:extLst>
            <a:ext uri="{FF2B5EF4-FFF2-40B4-BE49-F238E27FC236}">
              <a16:creationId xmlns:a16="http://schemas.microsoft.com/office/drawing/2014/main" id="{00000000-0008-0000-0200-000031000000}"/>
            </a:ext>
          </a:extLst>
        </xdr:cNvPr>
        <xdr:cNvCxnSpPr/>
      </xdr:nvCxnSpPr>
      <xdr:spPr>
        <a:xfrm>
          <a:off x="4267200" y="7840980"/>
          <a:ext cx="619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1043940</xdr:colOff>
      <xdr:row>46</xdr:row>
      <xdr:rowOff>190500</xdr:rowOff>
    </xdr:from>
    <xdr:to>
      <xdr:col>1</xdr:col>
      <xdr:colOff>1440180</xdr:colOff>
      <xdr:row>46</xdr:row>
      <xdr:rowOff>190500</xdr:rowOff>
    </xdr:to>
    <xdr:cxnSp macro="">
      <xdr:nvCxnSpPr>
        <xdr:cNvPr id="50" name="Straight Connector 49">
          <a:extLst>
            <a:ext uri="{FF2B5EF4-FFF2-40B4-BE49-F238E27FC236}">
              <a16:creationId xmlns:a16="http://schemas.microsoft.com/office/drawing/2014/main" id="{00000000-0008-0000-0200-000032000000}"/>
            </a:ext>
          </a:extLst>
        </xdr:cNvPr>
        <xdr:cNvCxnSpPr/>
      </xdr:nvCxnSpPr>
      <xdr:spPr>
        <a:xfrm>
          <a:off x="1424940" y="9525000"/>
          <a:ext cx="39624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28575</xdr:colOff>
      <xdr:row>47</xdr:row>
      <xdr:rowOff>28575</xdr:rowOff>
    </xdr:from>
    <xdr:to>
      <xdr:col>8</xdr:col>
      <xdr:colOff>571500</xdr:colOff>
      <xdr:row>47</xdr:row>
      <xdr:rowOff>39688</xdr:rowOff>
    </xdr:to>
    <xdr:cxnSp macro="">
      <xdr:nvCxnSpPr>
        <xdr:cNvPr id="51" name="Straight Connector 50">
          <a:extLst>
            <a:ext uri="{FF2B5EF4-FFF2-40B4-BE49-F238E27FC236}">
              <a16:creationId xmlns:a16="http://schemas.microsoft.com/office/drawing/2014/main" id="{00000000-0008-0000-0200-000033000000}"/>
            </a:ext>
          </a:extLst>
        </xdr:cNvPr>
        <xdr:cNvCxnSpPr/>
      </xdr:nvCxnSpPr>
      <xdr:spPr>
        <a:xfrm>
          <a:off x="4295775" y="6284595"/>
          <a:ext cx="1152525" cy="1111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48</xdr:row>
      <xdr:rowOff>0</xdr:rowOff>
    </xdr:from>
    <xdr:to>
      <xdr:col>8</xdr:col>
      <xdr:colOff>581025</xdr:colOff>
      <xdr:row>48</xdr:row>
      <xdr:rowOff>1588</xdr:rowOff>
    </xdr:to>
    <xdr:cxnSp macro="">
      <xdr:nvCxnSpPr>
        <xdr:cNvPr id="52" name="Straight Connector 51">
          <a:extLst>
            <a:ext uri="{FF2B5EF4-FFF2-40B4-BE49-F238E27FC236}">
              <a16:creationId xmlns:a16="http://schemas.microsoft.com/office/drawing/2014/main" id="{00000000-0008-0000-0200-000034000000}"/>
            </a:ext>
          </a:extLst>
        </xdr:cNvPr>
        <xdr:cNvCxnSpPr/>
      </xdr:nvCxnSpPr>
      <xdr:spPr>
        <a:xfrm>
          <a:off x="4267200" y="6454140"/>
          <a:ext cx="11906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50</xdr:row>
      <xdr:rowOff>0</xdr:rowOff>
    </xdr:from>
    <xdr:to>
      <xdr:col>3</xdr:col>
      <xdr:colOff>9525</xdr:colOff>
      <xdr:row>50</xdr:row>
      <xdr:rowOff>1588</xdr:rowOff>
    </xdr:to>
    <xdr:cxnSp macro="">
      <xdr:nvCxnSpPr>
        <xdr:cNvPr id="53" name="Straight Connector 52">
          <a:extLst>
            <a:ext uri="{FF2B5EF4-FFF2-40B4-BE49-F238E27FC236}">
              <a16:creationId xmlns:a16="http://schemas.microsoft.com/office/drawing/2014/main" id="{00000000-0008-0000-0200-000035000000}"/>
            </a:ext>
          </a:extLst>
        </xdr:cNvPr>
        <xdr:cNvCxnSpPr/>
      </xdr:nvCxnSpPr>
      <xdr:spPr>
        <a:xfrm>
          <a:off x="1219200" y="6850380"/>
          <a:ext cx="619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600075</xdr:colOff>
      <xdr:row>50</xdr:row>
      <xdr:rowOff>0</xdr:rowOff>
    </xdr:from>
    <xdr:to>
      <xdr:col>6</xdr:col>
      <xdr:colOff>0</xdr:colOff>
      <xdr:row>50</xdr:row>
      <xdr:rowOff>1588</xdr:rowOff>
    </xdr:to>
    <xdr:cxnSp macro="">
      <xdr:nvCxnSpPr>
        <xdr:cNvPr id="54" name="Straight Connector 53">
          <a:extLst>
            <a:ext uri="{FF2B5EF4-FFF2-40B4-BE49-F238E27FC236}">
              <a16:creationId xmlns:a16="http://schemas.microsoft.com/office/drawing/2014/main" id="{00000000-0008-0000-0200-000036000000}"/>
            </a:ext>
          </a:extLst>
        </xdr:cNvPr>
        <xdr:cNvCxnSpPr/>
      </xdr:nvCxnSpPr>
      <xdr:spPr>
        <a:xfrm>
          <a:off x="2428875" y="6850380"/>
          <a:ext cx="1228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50</xdr:row>
      <xdr:rowOff>9525</xdr:rowOff>
    </xdr:from>
    <xdr:to>
      <xdr:col>8</xdr:col>
      <xdr:colOff>19050</xdr:colOff>
      <xdr:row>50</xdr:row>
      <xdr:rowOff>11113</xdr:rowOff>
    </xdr:to>
    <xdr:cxnSp macro="">
      <xdr:nvCxnSpPr>
        <xdr:cNvPr id="55" name="Straight Connector 54">
          <a:extLst>
            <a:ext uri="{FF2B5EF4-FFF2-40B4-BE49-F238E27FC236}">
              <a16:creationId xmlns:a16="http://schemas.microsoft.com/office/drawing/2014/main" id="{00000000-0008-0000-0200-000037000000}"/>
            </a:ext>
          </a:extLst>
        </xdr:cNvPr>
        <xdr:cNvCxnSpPr/>
      </xdr:nvCxnSpPr>
      <xdr:spPr>
        <a:xfrm>
          <a:off x="4267200" y="6859905"/>
          <a:ext cx="628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114300</xdr:colOff>
      <xdr:row>50</xdr:row>
      <xdr:rowOff>9525</xdr:rowOff>
    </xdr:from>
    <xdr:to>
      <xdr:col>8</xdr:col>
      <xdr:colOff>571500</xdr:colOff>
      <xdr:row>50</xdr:row>
      <xdr:rowOff>11113</xdr:rowOff>
    </xdr:to>
    <xdr:cxnSp macro="">
      <xdr:nvCxnSpPr>
        <xdr:cNvPr id="56" name="Straight Connector 55">
          <a:extLst>
            <a:ext uri="{FF2B5EF4-FFF2-40B4-BE49-F238E27FC236}">
              <a16:creationId xmlns:a16="http://schemas.microsoft.com/office/drawing/2014/main" id="{00000000-0008-0000-0200-000038000000}"/>
            </a:ext>
          </a:extLst>
        </xdr:cNvPr>
        <xdr:cNvCxnSpPr/>
      </xdr:nvCxnSpPr>
      <xdr:spPr>
        <a:xfrm>
          <a:off x="4991100" y="6859905"/>
          <a:ext cx="4572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123825</xdr:colOff>
      <xdr:row>55</xdr:row>
      <xdr:rowOff>0</xdr:rowOff>
    </xdr:from>
    <xdr:to>
      <xdr:col>8</xdr:col>
      <xdr:colOff>581025</xdr:colOff>
      <xdr:row>55</xdr:row>
      <xdr:rowOff>1588</xdr:rowOff>
    </xdr:to>
    <xdr:cxnSp macro="">
      <xdr:nvCxnSpPr>
        <xdr:cNvPr id="57" name="Straight Connector 56">
          <a:extLst>
            <a:ext uri="{FF2B5EF4-FFF2-40B4-BE49-F238E27FC236}">
              <a16:creationId xmlns:a16="http://schemas.microsoft.com/office/drawing/2014/main" id="{00000000-0008-0000-0200-000039000000}"/>
            </a:ext>
          </a:extLst>
        </xdr:cNvPr>
        <xdr:cNvCxnSpPr/>
      </xdr:nvCxnSpPr>
      <xdr:spPr>
        <a:xfrm>
          <a:off x="5000625" y="7840980"/>
          <a:ext cx="4572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58</xdr:row>
      <xdr:rowOff>9525</xdr:rowOff>
    </xdr:from>
    <xdr:to>
      <xdr:col>8</xdr:col>
      <xdr:colOff>581025</xdr:colOff>
      <xdr:row>58</xdr:row>
      <xdr:rowOff>11113</xdr:rowOff>
    </xdr:to>
    <xdr:cxnSp macro="">
      <xdr:nvCxnSpPr>
        <xdr:cNvPr id="58" name="Straight Connector 57">
          <a:extLst>
            <a:ext uri="{FF2B5EF4-FFF2-40B4-BE49-F238E27FC236}">
              <a16:creationId xmlns:a16="http://schemas.microsoft.com/office/drawing/2014/main" id="{00000000-0008-0000-0200-00003A000000}"/>
            </a:ext>
          </a:extLst>
        </xdr:cNvPr>
        <xdr:cNvCxnSpPr/>
      </xdr:nvCxnSpPr>
      <xdr:spPr>
        <a:xfrm>
          <a:off x="4981575" y="844486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59</xdr:row>
      <xdr:rowOff>0</xdr:rowOff>
    </xdr:from>
    <xdr:to>
      <xdr:col>8</xdr:col>
      <xdr:colOff>571500</xdr:colOff>
      <xdr:row>59</xdr:row>
      <xdr:rowOff>1588</xdr:rowOff>
    </xdr:to>
    <xdr:cxnSp macro="">
      <xdr:nvCxnSpPr>
        <xdr:cNvPr id="59" name="Straight Connector 58">
          <a:extLst>
            <a:ext uri="{FF2B5EF4-FFF2-40B4-BE49-F238E27FC236}">
              <a16:creationId xmlns:a16="http://schemas.microsoft.com/office/drawing/2014/main" id="{00000000-0008-0000-0200-00003B000000}"/>
            </a:ext>
          </a:extLst>
        </xdr:cNvPr>
        <xdr:cNvCxnSpPr/>
      </xdr:nvCxnSpPr>
      <xdr:spPr>
        <a:xfrm>
          <a:off x="4981575" y="8633460"/>
          <a:ext cx="466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275431</xdr:colOff>
      <xdr:row>45</xdr:row>
      <xdr:rowOff>0</xdr:rowOff>
    </xdr:from>
    <xdr:to>
      <xdr:col>3</xdr:col>
      <xdr:colOff>285750</xdr:colOff>
      <xdr:row>46</xdr:row>
      <xdr:rowOff>124619</xdr:rowOff>
    </xdr:to>
    <xdr:cxnSp macro="">
      <xdr:nvCxnSpPr>
        <xdr:cNvPr id="60" name="Straight Connector 59">
          <a:extLst>
            <a:ext uri="{FF2B5EF4-FFF2-40B4-BE49-F238E27FC236}">
              <a16:creationId xmlns:a16="http://schemas.microsoft.com/office/drawing/2014/main" id="{00000000-0008-0000-0200-00003C000000}"/>
            </a:ext>
          </a:extLst>
        </xdr:cNvPr>
        <xdr:cNvCxnSpPr/>
      </xdr:nvCxnSpPr>
      <xdr:spPr>
        <a:xfrm flipH="1">
          <a:off x="2104231" y="5859780"/>
          <a:ext cx="10319" cy="32273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323057</xdr:colOff>
      <xdr:row>45</xdr:row>
      <xdr:rowOff>0</xdr:rowOff>
    </xdr:from>
    <xdr:to>
      <xdr:col>6</xdr:col>
      <xdr:colOff>323850</xdr:colOff>
      <xdr:row>46</xdr:row>
      <xdr:rowOff>134143</xdr:rowOff>
    </xdr:to>
    <xdr:cxnSp macro="">
      <xdr:nvCxnSpPr>
        <xdr:cNvPr id="61" name="Straight Connector 60">
          <a:extLst>
            <a:ext uri="{FF2B5EF4-FFF2-40B4-BE49-F238E27FC236}">
              <a16:creationId xmlns:a16="http://schemas.microsoft.com/office/drawing/2014/main" id="{00000000-0008-0000-0200-00003D000000}"/>
            </a:ext>
          </a:extLst>
        </xdr:cNvPr>
        <xdr:cNvCxnSpPr/>
      </xdr:nvCxnSpPr>
      <xdr:spPr>
        <a:xfrm flipH="1">
          <a:off x="3980657" y="5859780"/>
          <a:ext cx="793" cy="3322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xdr:colOff>
      <xdr:row>60</xdr:row>
      <xdr:rowOff>123822</xdr:rowOff>
    </xdr:from>
    <xdr:to>
      <xdr:col>2</xdr:col>
      <xdr:colOff>9525</xdr:colOff>
      <xdr:row>61</xdr:row>
      <xdr:rowOff>142874</xdr:rowOff>
    </xdr:to>
    <xdr:cxnSp macro="">
      <xdr:nvCxnSpPr>
        <xdr:cNvPr id="62" name="Straight Connector 61">
          <a:extLst>
            <a:ext uri="{FF2B5EF4-FFF2-40B4-BE49-F238E27FC236}">
              <a16:creationId xmlns:a16="http://schemas.microsoft.com/office/drawing/2014/main" id="{00000000-0008-0000-0200-00003E000000}"/>
            </a:ext>
          </a:extLst>
        </xdr:cNvPr>
        <xdr:cNvCxnSpPr/>
      </xdr:nvCxnSpPr>
      <xdr:spPr>
        <a:xfrm rot="16200000" flipH="1">
          <a:off x="1115378" y="9059226"/>
          <a:ext cx="217172" cy="95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600076</xdr:colOff>
      <xdr:row>60</xdr:row>
      <xdr:rowOff>123823</xdr:rowOff>
    </xdr:from>
    <xdr:to>
      <xdr:col>8</xdr:col>
      <xdr:colOff>3</xdr:colOff>
      <xdr:row>61</xdr:row>
      <xdr:rowOff>142877</xdr:rowOff>
    </xdr:to>
    <xdr:cxnSp macro="">
      <xdr:nvCxnSpPr>
        <xdr:cNvPr id="63" name="Straight Connector 62">
          <a:extLst>
            <a:ext uri="{FF2B5EF4-FFF2-40B4-BE49-F238E27FC236}">
              <a16:creationId xmlns:a16="http://schemas.microsoft.com/office/drawing/2014/main" id="{00000000-0008-0000-0200-00003F000000}"/>
            </a:ext>
          </a:extLst>
        </xdr:cNvPr>
        <xdr:cNvCxnSpPr/>
      </xdr:nvCxnSpPr>
      <xdr:spPr>
        <a:xfrm rot="16200000" flipH="1">
          <a:off x="4763453" y="9059226"/>
          <a:ext cx="217174" cy="95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1091565</xdr:colOff>
      <xdr:row>60</xdr:row>
      <xdr:rowOff>17145</xdr:rowOff>
    </xdr:from>
    <xdr:to>
      <xdr:col>1</xdr:col>
      <xdr:colOff>1384935</xdr:colOff>
      <xdr:row>60</xdr:row>
      <xdr:rowOff>18733</xdr:rowOff>
    </xdr:to>
    <xdr:cxnSp macro="">
      <xdr:nvCxnSpPr>
        <xdr:cNvPr id="64" name="Straight Connector 63">
          <a:extLst>
            <a:ext uri="{FF2B5EF4-FFF2-40B4-BE49-F238E27FC236}">
              <a16:creationId xmlns:a16="http://schemas.microsoft.com/office/drawing/2014/main" id="{00000000-0008-0000-0200-000040000000}"/>
            </a:ext>
          </a:extLst>
        </xdr:cNvPr>
        <xdr:cNvCxnSpPr/>
      </xdr:nvCxnSpPr>
      <xdr:spPr>
        <a:xfrm rot="10800000">
          <a:off x="1472565" y="12125325"/>
          <a:ext cx="29337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61</xdr:row>
      <xdr:rowOff>19050</xdr:rowOff>
    </xdr:from>
    <xdr:to>
      <xdr:col>8</xdr:col>
      <xdr:colOff>19050</xdr:colOff>
      <xdr:row>61</xdr:row>
      <xdr:rowOff>20638</xdr:rowOff>
    </xdr:to>
    <xdr:cxnSp macro="">
      <xdr:nvCxnSpPr>
        <xdr:cNvPr id="65" name="Straight Arrow Connector 64">
          <a:extLst>
            <a:ext uri="{FF2B5EF4-FFF2-40B4-BE49-F238E27FC236}">
              <a16:creationId xmlns:a16="http://schemas.microsoft.com/office/drawing/2014/main" id="{00000000-0008-0000-0200-000041000000}"/>
            </a:ext>
          </a:extLst>
        </xdr:cNvPr>
        <xdr:cNvCxnSpPr/>
      </xdr:nvCxnSpPr>
      <xdr:spPr>
        <a:xfrm>
          <a:off x="1228725" y="9048750"/>
          <a:ext cx="3667125"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276225</xdr:colOff>
      <xdr:row>45</xdr:row>
      <xdr:rowOff>171450</xdr:rowOff>
    </xdr:from>
    <xdr:to>
      <xdr:col>6</xdr:col>
      <xdr:colOff>333375</xdr:colOff>
      <xdr:row>45</xdr:row>
      <xdr:rowOff>173038</xdr:rowOff>
    </xdr:to>
    <xdr:cxnSp macro="">
      <xdr:nvCxnSpPr>
        <xdr:cNvPr id="66" name="Straight Arrow Connector 65">
          <a:extLst>
            <a:ext uri="{FF2B5EF4-FFF2-40B4-BE49-F238E27FC236}">
              <a16:creationId xmlns:a16="http://schemas.microsoft.com/office/drawing/2014/main" id="{00000000-0008-0000-0200-000042000000}"/>
            </a:ext>
          </a:extLst>
        </xdr:cNvPr>
        <xdr:cNvCxnSpPr/>
      </xdr:nvCxnSpPr>
      <xdr:spPr>
        <a:xfrm>
          <a:off x="2806065" y="9102090"/>
          <a:ext cx="1885950" cy="1588"/>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656431</xdr:colOff>
      <xdr:row>47</xdr:row>
      <xdr:rowOff>10319</xdr:rowOff>
    </xdr:from>
    <xdr:to>
      <xdr:col>7</xdr:col>
      <xdr:colOff>794</xdr:colOff>
      <xdr:row>55</xdr:row>
      <xdr:rowOff>10319</xdr:rowOff>
    </xdr:to>
    <xdr:cxnSp macro="">
      <xdr:nvCxnSpPr>
        <xdr:cNvPr id="67" name="Straight Connector 66">
          <a:extLst>
            <a:ext uri="{FF2B5EF4-FFF2-40B4-BE49-F238E27FC236}">
              <a16:creationId xmlns:a16="http://schemas.microsoft.com/office/drawing/2014/main" id="{00000000-0008-0000-0200-000043000000}"/>
            </a:ext>
          </a:extLst>
        </xdr:cNvPr>
        <xdr:cNvCxnSpPr/>
      </xdr:nvCxnSpPr>
      <xdr:spPr>
        <a:xfrm rot="5400000">
          <a:off x="3475674" y="7058976"/>
          <a:ext cx="15849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599281</xdr:colOff>
      <xdr:row>47</xdr:row>
      <xdr:rowOff>10319</xdr:rowOff>
    </xdr:from>
    <xdr:to>
      <xdr:col>5</xdr:col>
      <xdr:colOff>600869</xdr:colOff>
      <xdr:row>55</xdr:row>
      <xdr:rowOff>10319</xdr:rowOff>
    </xdr:to>
    <xdr:cxnSp macro="">
      <xdr:nvCxnSpPr>
        <xdr:cNvPr id="68" name="Straight Connector 67">
          <a:extLst>
            <a:ext uri="{FF2B5EF4-FFF2-40B4-BE49-F238E27FC236}">
              <a16:creationId xmlns:a16="http://schemas.microsoft.com/office/drawing/2014/main" id="{00000000-0008-0000-0200-000044000000}"/>
            </a:ext>
          </a:extLst>
        </xdr:cNvPr>
        <xdr:cNvCxnSpPr/>
      </xdr:nvCxnSpPr>
      <xdr:spPr>
        <a:xfrm rot="5400000">
          <a:off x="2855595" y="7058025"/>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8731</xdr:colOff>
      <xdr:row>47</xdr:row>
      <xdr:rowOff>10319</xdr:rowOff>
    </xdr:from>
    <xdr:to>
      <xdr:col>3</xdr:col>
      <xdr:colOff>10319</xdr:colOff>
      <xdr:row>55</xdr:row>
      <xdr:rowOff>10319</xdr:rowOff>
    </xdr:to>
    <xdr:cxnSp macro="">
      <xdr:nvCxnSpPr>
        <xdr:cNvPr id="69" name="Straight Connector 68">
          <a:extLst>
            <a:ext uri="{FF2B5EF4-FFF2-40B4-BE49-F238E27FC236}">
              <a16:creationId xmlns:a16="http://schemas.microsoft.com/office/drawing/2014/main" id="{00000000-0008-0000-0200-000045000000}"/>
            </a:ext>
          </a:extLst>
        </xdr:cNvPr>
        <xdr:cNvCxnSpPr/>
      </xdr:nvCxnSpPr>
      <xdr:spPr>
        <a:xfrm rot="5400000">
          <a:off x="1045845" y="7058025"/>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608806</xdr:colOff>
      <xdr:row>47</xdr:row>
      <xdr:rowOff>794</xdr:rowOff>
    </xdr:from>
    <xdr:to>
      <xdr:col>4</xdr:col>
      <xdr:colOff>794</xdr:colOff>
      <xdr:row>55</xdr:row>
      <xdr:rowOff>794</xdr:rowOff>
    </xdr:to>
    <xdr:cxnSp macro="">
      <xdr:nvCxnSpPr>
        <xdr:cNvPr id="70" name="Straight Connector 69">
          <a:extLst>
            <a:ext uri="{FF2B5EF4-FFF2-40B4-BE49-F238E27FC236}">
              <a16:creationId xmlns:a16="http://schemas.microsoft.com/office/drawing/2014/main" id="{00000000-0008-0000-0200-000046000000}"/>
            </a:ext>
          </a:extLst>
        </xdr:cNvPr>
        <xdr:cNvCxnSpPr/>
      </xdr:nvCxnSpPr>
      <xdr:spPr>
        <a:xfrm rot="5400000">
          <a:off x="1645920" y="7048500"/>
          <a:ext cx="158496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10319</xdr:colOff>
      <xdr:row>55</xdr:row>
      <xdr:rowOff>793</xdr:rowOff>
    </xdr:from>
    <xdr:to>
      <xdr:col>8</xdr:col>
      <xdr:colOff>19050</xdr:colOff>
      <xdr:row>59</xdr:row>
      <xdr:rowOff>200024</xdr:rowOff>
    </xdr:to>
    <xdr:cxnSp macro="">
      <xdr:nvCxnSpPr>
        <xdr:cNvPr id="71" name="Straight Connector 70">
          <a:extLst>
            <a:ext uri="{FF2B5EF4-FFF2-40B4-BE49-F238E27FC236}">
              <a16:creationId xmlns:a16="http://schemas.microsoft.com/office/drawing/2014/main" id="{00000000-0008-0000-0200-000047000000}"/>
            </a:ext>
          </a:extLst>
        </xdr:cNvPr>
        <xdr:cNvCxnSpPr/>
      </xdr:nvCxnSpPr>
      <xdr:spPr>
        <a:xfrm rot="16200000" flipH="1">
          <a:off x="4395629" y="8333263"/>
          <a:ext cx="991711" cy="873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xdr:colOff>
      <xdr:row>54</xdr:row>
      <xdr:rowOff>181768</xdr:rowOff>
    </xdr:from>
    <xdr:to>
      <xdr:col>2</xdr:col>
      <xdr:colOff>795</xdr:colOff>
      <xdr:row>59</xdr:row>
      <xdr:rowOff>180974</xdr:rowOff>
    </xdr:to>
    <xdr:cxnSp macro="">
      <xdr:nvCxnSpPr>
        <xdr:cNvPr id="72" name="Straight Connector 71">
          <a:extLst>
            <a:ext uri="{FF2B5EF4-FFF2-40B4-BE49-F238E27FC236}">
              <a16:creationId xmlns:a16="http://schemas.microsoft.com/office/drawing/2014/main" id="{00000000-0008-0000-0200-000048000000}"/>
            </a:ext>
          </a:extLst>
        </xdr:cNvPr>
        <xdr:cNvCxnSpPr/>
      </xdr:nvCxnSpPr>
      <xdr:spPr>
        <a:xfrm rot="5400000">
          <a:off x="724695" y="8319134"/>
          <a:ext cx="989806" cy="7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60</xdr:row>
      <xdr:rowOff>0</xdr:rowOff>
    </xdr:from>
    <xdr:to>
      <xdr:col>8</xdr:col>
      <xdr:colOff>9525</xdr:colOff>
      <xdr:row>60</xdr:row>
      <xdr:rowOff>1588</xdr:rowOff>
    </xdr:to>
    <xdr:cxnSp macro="">
      <xdr:nvCxnSpPr>
        <xdr:cNvPr id="73" name="Straight Connector 72">
          <a:extLst>
            <a:ext uri="{FF2B5EF4-FFF2-40B4-BE49-F238E27FC236}">
              <a16:creationId xmlns:a16="http://schemas.microsoft.com/office/drawing/2014/main" id="{00000000-0008-0000-0200-000049000000}"/>
            </a:ext>
          </a:extLst>
        </xdr:cNvPr>
        <xdr:cNvCxnSpPr/>
      </xdr:nvCxnSpPr>
      <xdr:spPr>
        <a:xfrm>
          <a:off x="1219200" y="8831580"/>
          <a:ext cx="3667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59</xdr:row>
      <xdr:rowOff>0</xdr:rowOff>
    </xdr:from>
    <xdr:to>
      <xdr:col>8</xdr:col>
      <xdr:colOff>466725</xdr:colOff>
      <xdr:row>59</xdr:row>
      <xdr:rowOff>1588</xdr:rowOff>
    </xdr:to>
    <xdr:cxnSp macro="">
      <xdr:nvCxnSpPr>
        <xdr:cNvPr id="74" name="Straight Connector 73">
          <a:extLst>
            <a:ext uri="{FF2B5EF4-FFF2-40B4-BE49-F238E27FC236}">
              <a16:creationId xmlns:a16="http://schemas.microsoft.com/office/drawing/2014/main" id="{00000000-0008-0000-0200-00004A000000}"/>
            </a:ext>
          </a:extLst>
        </xdr:cNvPr>
        <xdr:cNvCxnSpPr/>
      </xdr:nvCxnSpPr>
      <xdr:spPr>
        <a:xfrm>
          <a:off x="4876800" y="8633460"/>
          <a:ext cx="466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60</xdr:row>
      <xdr:rowOff>0</xdr:rowOff>
    </xdr:from>
    <xdr:to>
      <xdr:col>8</xdr:col>
      <xdr:colOff>581025</xdr:colOff>
      <xdr:row>60</xdr:row>
      <xdr:rowOff>9525</xdr:rowOff>
    </xdr:to>
    <xdr:cxnSp macro="">
      <xdr:nvCxnSpPr>
        <xdr:cNvPr id="75" name="Straight Connector 74">
          <a:extLst>
            <a:ext uri="{FF2B5EF4-FFF2-40B4-BE49-F238E27FC236}">
              <a16:creationId xmlns:a16="http://schemas.microsoft.com/office/drawing/2014/main" id="{00000000-0008-0000-0200-00004B000000}"/>
            </a:ext>
          </a:extLst>
        </xdr:cNvPr>
        <xdr:cNvCxnSpPr/>
      </xdr:nvCxnSpPr>
      <xdr:spPr>
        <a:xfrm>
          <a:off x="4876800" y="8831580"/>
          <a:ext cx="58102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1196340</xdr:colOff>
      <xdr:row>47</xdr:row>
      <xdr:rowOff>15240</xdr:rowOff>
    </xdr:from>
    <xdr:to>
      <xdr:col>1</xdr:col>
      <xdr:colOff>1219200</xdr:colOff>
      <xdr:row>60</xdr:row>
      <xdr:rowOff>7620</xdr:rowOff>
    </xdr:to>
    <xdr:cxnSp macro="">
      <xdr:nvCxnSpPr>
        <xdr:cNvPr id="76" name="Straight Arrow Connector 75">
          <a:extLst>
            <a:ext uri="{FF2B5EF4-FFF2-40B4-BE49-F238E27FC236}">
              <a16:creationId xmlns:a16="http://schemas.microsoft.com/office/drawing/2014/main" id="{00000000-0008-0000-0200-00004C000000}"/>
            </a:ext>
          </a:extLst>
        </xdr:cNvPr>
        <xdr:cNvCxnSpPr/>
      </xdr:nvCxnSpPr>
      <xdr:spPr>
        <a:xfrm>
          <a:off x="1577340" y="9547860"/>
          <a:ext cx="22860" cy="256794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104775</xdr:colOff>
      <xdr:row>59</xdr:row>
      <xdr:rowOff>9525</xdr:rowOff>
    </xdr:from>
    <xdr:to>
      <xdr:col>8</xdr:col>
      <xdr:colOff>581025</xdr:colOff>
      <xdr:row>59</xdr:row>
      <xdr:rowOff>11113</xdr:rowOff>
    </xdr:to>
    <xdr:cxnSp macro="">
      <xdr:nvCxnSpPr>
        <xdr:cNvPr id="81" name="Straight Connector 80">
          <a:extLst>
            <a:ext uri="{FF2B5EF4-FFF2-40B4-BE49-F238E27FC236}">
              <a16:creationId xmlns:a16="http://schemas.microsoft.com/office/drawing/2014/main" id="{00000000-0008-0000-0200-000051000000}"/>
            </a:ext>
          </a:extLst>
        </xdr:cNvPr>
        <xdr:cNvCxnSpPr/>
      </xdr:nvCxnSpPr>
      <xdr:spPr>
        <a:xfrm>
          <a:off x="5682615" y="1172146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xdr:colOff>
      <xdr:row>96</xdr:row>
      <xdr:rowOff>190500</xdr:rowOff>
    </xdr:from>
    <xdr:to>
      <xdr:col>4</xdr:col>
      <xdr:colOff>594360</xdr:colOff>
      <xdr:row>96</xdr:row>
      <xdr:rowOff>190500</xdr:rowOff>
    </xdr:to>
    <xdr:cxnSp macro="">
      <xdr:nvCxnSpPr>
        <xdr:cNvPr id="82" name="Straight Connector 81">
          <a:extLst>
            <a:ext uri="{FF2B5EF4-FFF2-40B4-BE49-F238E27FC236}">
              <a16:creationId xmlns:a16="http://schemas.microsoft.com/office/drawing/2014/main" id="{00000000-0008-0000-0200-000052000000}"/>
            </a:ext>
          </a:extLst>
        </xdr:cNvPr>
        <xdr:cNvCxnSpPr/>
      </xdr:nvCxnSpPr>
      <xdr:spPr>
        <a:xfrm>
          <a:off x="1922145" y="20337780"/>
          <a:ext cx="181165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7620</xdr:colOff>
      <xdr:row>98</xdr:row>
      <xdr:rowOff>0</xdr:rowOff>
    </xdr:from>
    <xdr:to>
      <xdr:col>5</xdr:col>
      <xdr:colOff>0</xdr:colOff>
      <xdr:row>98</xdr:row>
      <xdr:rowOff>1905</xdr:rowOff>
    </xdr:to>
    <xdr:cxnSp macro="">
      <xdr:nvCxnSpPr>
        <xdr:cNvPr id="83" name="Straight Connector 82">
          <a:extLst>
            <a:ext uri="{FF2B5EF4-FFF2-40B4-BE49-F238E27FC236}">
              <a16:creationId xmlns:a16="http://schemas.microsoft.com/office/drawing/2014/main" id="{00000000-0008-0000-0200-000053000000}"/>
            </a:ext>
          </a:extLst>
        </xdr:cNvPr>
        <xdr:cNvCxnSpPr/>
      </xdr:nvCxnSpPr>
      <xdr:spPr>
        <a:xfrm flipV="1">
          <a:off x="1927860" y="20543520"/>
          <a:ext cx="1821180" cy="190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9525</xdr:colOff>
      <xdr:row>88</xdr:row>
      <xdr:rowOff>0</xdr:rowOff>
    </xdr:from>
    <xdr:to>
      <xdr:col>4</xdr:col>
      <xdr:colOff>0</xdr:colOff>
      <xdr:row>88</xdr:row>
      <xdr:rowOff>1588</xdr:rowOff>
    </xdr:to>
    <xdr:cxnSp macro="">
      <xdr:nvCxnSpPr>
        <xdr:cNvPr id="84" name="Straight Connector 83">
          <a:extLst>
            <a:ext uri="{FF2B5EF4-FFF2-40B4-BE49-F238E27FC236}">
              <a16:creationId xmlns:a16="http://schemas.microsoft.com/office/drawing/2014/main" id="{00000000-0008-0000-0200-000054000000}"/>
            </a:ext>
          </a:extLst>
        </xdr:cNvPr>
        <xdr:cNvCxnSpPr/>
      </xdr:nvCxnSpPr>
      <xdr:spPr>
        <a:xfrm>
          <a:off x="2539365" y="9944100"/>
          <a:ext cx="6000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1531620</xdr:colOff>
      <xdr:row>92</xdr:row>
      <xdr:rowOff>1905</xdr:rowOff>
    </xdr:from>
    <xdr:to>
      <xdr:col>3</xdr:col>
      <xdr:colOff>11430</xdr:colOff>
      <xdr:row>92</xdr:row>
      <xdr:rowOff>3493</xdr:rowOff>
    </xdr:to>
    <xdr:cxnSp macro="">
      <xdr:nvCxnSpPr>
        <xdr:cNvPr id="85" name="Straight Connector 84">
          <a:extLst>
            <a:ext uri="{FF2B5EF4-FFF2-40B4-BE49-F238E27FC236}">
              <a16:creationId xmlns:a16="http://schemas.microsoft.com/office/drawing/2014/main" id="{00000000-0008-0000-0200-000055000000}"/>
            </a:ext>
          </a:extLst>
        </xdr:cNvPr>
        <xdr:cNvCxnSpPr/>
      </xdr:nvCxnSpPr>
      <xdr:spPr>
        <a:xfrm>
          <a:off x="1912620" y="19356705"/>
          <a:ext cx="628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594360</xdr:colOff>
      <xdr:row>91</xdr:row>
      <xdr:rowOff>190500</xdr:rowOff>
    </xdr:from>
    <xdr:to>
      <xdr:col>5</xdr:col>
      <xdr:colOff>0</xdr:colOff>
      <xdr:row>91</xdr:row>
      <xdr:rowOff>190500</xdr:rowOff>
    </xdr:to>
    <xdr:cxnSp macro="">
      <xdr:nvCxnSpPr>
        <xdr:cNvPr id="86" name="Straight Connector 85">
          <a:extLst>
            <a:ext uri="{FF2B5EF4-FFF2-40B4-BE49-F238E27FC236}">
              <a16:creationId xmlns:a16="http://schemas.microsoft.com/office/drawing/2014/main" id="{00000000-0008-0000-0200-000056000000}"/>
            </a:ext>
          </a:extLst>
        </xdr:cNvPr>
        <xdr:cNvCxnSpPr/>
      </xdr:nvCxnSpPr>
      <xdr:spPr>
        <a:xfrm>
          <a:off x="3124200" y="19347180"/>
          <a:ext cx="62484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1043940</xdr:colOff>
      <xdr:row>87</xdr:row>
      <xdr:rowOff>190500</xdr:rowOff>
    </xdr:from>
    <xdr:to>
      <xdr:col>1</xdr:col>
      <xdr:colOff>1440180</xdr:colOff>
      <xdr:row>87</xdr:row>
      <xdr:rowOff>190500</xdr:rowOff>
    </xdr:to>
    <xdr:cxnSp macro="">
      <xdr:nvCxnSpPr>
        <xdr:cNvPr id="89" name="Straight Connector 88">
          <a:extLst>
            <a:ext uri="{FF2B5EF4-FFF2-40B4-BE49-F238E27FC236}">
              <a16:creationId xmlns:a16="http://schemas.microsoft.com/office/drawing/2014/main" id="{00000000-0008-0000-0200-000059000000}"/>
            </a:ext>
          </a:extLst>
        </xdr:cNvPr>
        <xdr:cNvCxnSpPr/>
      </xdr:nvCxnSpPr>
      <xdr:spPr>
        <a:xfrm>
          <a:off x="1424940" y="9936480"/>
          <a:ext cx="39624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93345</xdr:colOff>
      <xdr:row>92</xdr:row>
      <xdr:rowOff>7620</xdr:rowOff>
    </xdr:from>
    <xdr:to>
      <xdr:col>6</xdr:col>
      <xdr:colOff>550545</xdr:colOff>
      <xdr:row>92</xdr:row>
      <xdr:rowOff>9208</xdr:rowOff>
    </xdr:to>
    <xdr:cxnSp macro="">
      <xdr:nvCxnSpPr>
        <xdr:cNvPr id="96" name="Straight Connector 95">
          <a:extLst>
            <a:ext uri="{FF2B5EF4-FFF2-40B4-BE49-F238E27FC236}">
              <a16:creationId xmlns:a16="http://schemas.microsoft.com/office/drawing/2014/main" id="{00000000-0008-0000-0200-000060000000}"/>
            </a:ext>
          </a:extLst>
        </xdr:cNvPr>
        <xdr:cNvCxnSpPr/>
      </xdr:nvCxnSpPr>
      <xdr:spPr>
        <a:xfrm>
          <a:off x="4451985" y="19362420"/>
          <a:ext cx="4572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104775</xdr:colOff>
      <xdr:row>97</xdr:row>
      <xdr:rowOff>9525</xdr:rowOff>
    </xdr:from>
    <xdr:to>
      <xdr:col>6</xdr:col>
      <xdr:colOff>581025</xdr:colOff>
      <xdr:row>97</xdr:row>
      <xdr:rowOff>11113</xdr:rowOff>
    </xdr:to>
    <xdr:cxnSp macro="">
      <xdr:nvCxnSpPr>
        <xdr:cNvPr id="97" name="Straight Connector 96">
          <a:extLst>
            <a:ext uri="{FF2B5EF4-FFF2-40B4-BE49-F238E27FC236}">
              <a16:creationId xmlns:a16="http://schemas.microsoft.com/office/drawing/2014/main" id="{00000000-0008-0000-0200-000061000000}"/>
            </a:ext>
          </a:extLst>
        </xdr:cNvPr>
        <xdr:cNvCxnSpPr/>
      </xdr:nvCxnSpPr>
      <xdr:spPr>
        <a:xfrm>
          <a:off x="5682615" y="1213294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104775</xdr:colOff>
      <xdr:row>98</xdr:row>
      <xdr:rowOff>0</xdr:rowOff>
    </xdr:from>
    <xdr:to>
      <xdr:col>6</xdr:col>
      <xdr:colOff>571500</xdr:colOff>
      <xdr:row>98</xdr:row>
      <xdr:rowOff>1588</xdr:rowOff>
    </xdr:to>
    <xdr:cxnSp macro="">
      <xdr:nvCxnSpPr>
        <xdr:cNvPr id="98" name="Straight Connector 97">
          <a:extLst>
            <a:ext uri="{FF2B5EF4-FFF2-40B4-BE49-F238E27FC236}">
              <a16:creationId xmlns:a16="http://schemas.microsoft.com/office/drawing/2014/main" id="{00000000-0008-0000-0200-000062000000}"/>
            </a:ext>
          </a:extLst>
        </xdr:cNvPr>
        <xdr:cNvCxnSpPr/>
      </xdr:nvCxnSpPr>
      <xdr:spPr>
        <a:xfrm>
          <a:off x="5682615" y="12321540"/>
          <a:ext cx="466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1531623</xdr:colOff>
      <xdr:row>99</xdr:row>
      <xdr:rowOff>108583</xdr:rowOff>
    </xdr:from>
    <xdr:to>
      <xdr:col>2</xdr:col>
      <xdr:colOff>1906</xdr:colOff>
      <xdr:row>100</xdr:row>
      <xdr:rowOff>127635</xdr:rowOff>
    </xdr:to>
    <xdr:cxnSp macro="">
      <xdr:nvCxnSpPr>
        <xdr:cNvPr id="101" name="Straight Connector 100">
          <a:extLst>
            <a:ext uri="{FF2B5EF4-FFF2-40B4-BE49-F238E27FC236}">
              <a16:creationId xmlns:a16="http://schemas.microsoft.com/office/drawing/2014/main" id="{00000000-0008-0000-0200-000065000000}"/>
            </a:ext>
          </a:extLst>
        </xdr:cNvPr>
        <xdr:cNvCxnSpPr/>
      </xdr:nvCxnSpPr>
      <xdr:spPr>
        <a:xfrm rot="16200000" flipH="1">
          <a:off x="1808799" y="20954047"/>
          <a:ext cx="217172" cy="95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600077</xdr:colOff>
      <xdr:row>99</xdr:row>
      <xdr:rowOff>85724</xdr:rowOff>
    </xdr:from>
    <xdr:to>
      <xdr:col>5</xdr:col>
      <xdr:colOff>4</xdr:colOff>
      <xdr:row>100</xdr:row>
      <xdr:rowOff>104778</xdr:rowOff>
    </xdr:to>
    <xdr:cxnSp macro="">
      <xdr:nvCxnSpPr>
        <xdr:cNvPr id="102" name="Straight Connector 101">
          <a:extLst>
            <a:ext uri="{FF2B5EF4-FFF2-40B4-BE49-F238E27FC236}">
              <a16:creationId xmlns:a16="http://schemas.microsoft.com/office/drawing/2014/main" id="{00000000-0008-0000-0200-000066000000}"/>
            </a:ext>
          </a:extLst>
        </xdr:cNvPr>
        <xdr:cNvCxnSpPr/>
      </xdr:nvCxnSpPr>
      <xdr:spPr>
        <a:xfrm rot="16200000" flipH="1">
          <a:off x="3635694" y="20931187"/>
          <a:ext cx="217174" cy="95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1076325</xdr:colOff>
      <xdr:row>99</xdr:row>
      <xdr:rowOff>17145</xdr:rowOff>
    </xdr:from>
    <xdr:to>
      <xdr:col>1</xdr:col>
      <xdr:colOff>1369695</xdr:colOff>
      <xdr:row>99</xdr:row>
      <xdr:rowOff>18733</xdr:rowOff>
    </xdr:to>
    <xdr:cxnSp macro="">
      <xdr:nvCxnSpPr>
        <xdr:cNvPr id="103" name="Straight Connector 102">
          <a:extLst>
            <a:ext uri="{FF2B5EF4-FFF2-40B4-BE49-F238E27FC236}">
              <a16:creationId xmlns:a16="http://schemas.microsoft.com/office/drawing/2014/main" id="{00000000-0008-0000-0200-000067000000}"/>
            </a:ext>
          </a:extLst>
        </xdr:cNvPr>
        <xdr:cNvCxnSpPr/>
      </xdr:nvCxnSpPr>
      <xdr:spPr>
        <a:xfrm rot="10800000">
          <a:off x="1457325" y="20758785"/>
          <a:ext cx="29337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1533525</xdr:colOff>
      <xdr:row>99</xdr:row>
      <xdr:rowOff>186690</xdr:rowOff>
    </xdr:from>
    <xdr:to>
      <xdr:col>5</xdr:col>
      <xdr:colOff>0</xdr:colOff>
      <xdr:row>100</xdr:row>
      <xdr:rowOff>0</xdr:rowOff>
    </xdr:to>
    <xdr:cxnSp macro="">
      <xdr:nvCxnSpPr>
        <xdr:cNvPr id="104" name="Straight Arrow Connector 103">
          <a:extLst>
            <a:ext uri="{FF2B5EF4-FFF2-40B4-BE49-F238E27FC236}">
              <a16:creationId xmlns:a16="http://schemas.microsoft.com/office/drawing/2014/main" id="{00000000-0008-0000-0200-000068000000}"/>
            </a:ext>
          </a:extLst>
        </xdr:cNvPr>
        <xdr:cNvCxnSpPr/>
      </xdr:nvCxnSpPr>
      <xdr:spPr>
        <a:xfrm>
          <a:off x="1914525" y="20928330"/>
          <a:ext cx="1834515" cy="1143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7620</xdr:colOff>
      <xdr:row>91</xdr:row>
      <xdr:rowOff>182880</xdr:rowOff>
    </xdr:from>
    <xdr:to>
      <xdr:col>5</xdr:col>
      <xdr:colOff>7620</xdr:colOff>
      <xdr:row>99</xdr:row>
      <xdr:rowOff>15240</xdr:rowOff>
    </xdr:to>
    <xdr:cxnSp macro="">
      <xdr:nvCxnSpPr>
        <xdr:cNvPr id="106" name="Straight Connector 105">
          <a:extLst>
            <a:ext uri="{FF2B5EF4-FFF2-40B4-BE49-F238E27FC236}">
              <a16:creationId xmlns:a16="http://schemas.microsoft.com/office/drawing/2014/main" id="{00000000-0008-0000-0200-00006A000000}"/>
            </a:ext>
          </a:extLst>
        </xdr:cNvPr>
        <xdr:cNvCxnSpPr/>
      </xdr:nvCxnSpPr>
      <xdr:spPr>
        <a:xfrm>
          <a:off x="3756660" y="19339560"/>
          <a:ext cx="0" cy="14173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10320</xdr:colOff>
      <xdr:row>88</xdr:row>
      <xdr:rowOff>10319</xdr:rowOff>
    </xdr:from>
    <xdr:to>
      <xdr:col>3</xdr:col>
      <xdr:colOff>15240</xdr:colOff>
      <xdr:row>92</xdr:row>
      <xdr:rowOff>15240</xdr:rowOff>
    </xdr:to>
    <xdr:cxnSp macro="">
      <xdr:nvCxnSpPr>
        <xdr:cNvPr id="108" name="Straight Connector 107">
          <a:extLst>
            <a:ext uri="{FF2B5EF4-FFF2-40B4-BE49-F238E27FC236}">
              <a16:creationId xmlns:a16="http://schemas.microsoft.com/office/drawing/2014/main" id="{00000000-0008-0000-0200-00006C000000}"/>
            </a:ext>
          </a:extLst>
        </xdr:cNvPr>
        <xdr:cNvCxnSpPr/>
      </xdr:nvCxnSpPr>
      <xdr:spPr>
        <a:xfrm>
          <a:off x="2540160" y="18572639"/>
          <a:ext cx="4920" cy="7974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794</xdr:colOff>
      <xdr:row>88</xdr:row>
      <xdr:rowOff>794</xdr:rowOff>
    </xdr:from>
    <xdr:to>
      <xdr:col>4</xdr:col>
      <xdr:colOff>7620</xdr:colOff>
      <xdr:row>92</xdr:row>
      <xdr:rowOff>0</xdr:rowOff>
    </xdr:to>
    <xdr:cxnSp macro="">
      <xdr:nvCxnSpPr>
        <xdr:cNvPr id="109" name="Straight Connector 108">
          <a:extLst>
            <a:ext uri="{FF2B5EF4-FFF2-40B4-BE49-F238E27FC236}">
              <a16:creationId xmlns:a16="http://schemas.microsoft.com/office/drawing/2014/main" id="{00000000-0008-0000-0200-00006D000000}"/>
            </a:ext>
          </a:extLst>
        </xdr:cNvPr>
        <xdr:cNvCxnSpPr/>
      </xdr:nvCxnSpPr>
      <xdr:spPr>
        <a:xfrm>
          <a:off x="3140234" y="18563114"/>
          <a:ext cx="6826" cy="79168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92</xdr:row>
      <xdr:rowOff>7620</xdr:rowOff>
    </xdr:from>
    <xdr:to>
      <xdr:col>2</xdr:col>
      <xdr:colOff>0</xdr:colOff>
      <xdr:row>99</xdr:row>
      <xdr:rowOff>0</xdr:rowOff>
    </xdr:to>
    <xdr:cxnSp macro="">
      <xdr:nvCxnSpPr>
        <xdr:cNvPr id="111" name="Straight Connector 110">
          <a:extLst>
            <a:ext uri="{FF2B5EF4-FFF2-40B4-BE49-F238E27FC236}">
              <a16:creationId xmlns:a16="http://schemas.microsoft.com/office/drawing/2014/main" id="{00000000-0008-0000-0200-00006F000000}"/>
            </a:ext>
          </a:extLst>
        </xdr:cNvPr>
        <xdr:cNvCxnSpPr/>
      </xdr:nvCxnSpPr>
      <xdr:spPr>
        <a:xfrm>
          <a:off x="1920240" y="19362420"/>
          <a:ext cx="0" cy="13792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7620</xdr:colOff>
      <xdr:row>99</xdr:row>
      <xdr:rowOff>0</xdr:rowOff>
    </xdr:from>
    <xdr:to>
      <xdr:col>4</xdr:col>
      <xdr:colOff>594360</xdr:colOff>
      <xdr:row>99</xdr:row>
      <xdr:rowOff>7620</xdr:rowOff>
    </xdr:to>
    <xdr:cxnSp macro="">
      <xdr:nvCxnSpPr>
        <xdr:cNvPr id="112" name="Straight Connector 111">
          <a:extLst>
            <a:ext uri="{FF2B5EF4-FFF2-40B4-BE49-F238E27FC236}">
              <a16:creationId xmlns:a16="http://schemas.microsoft.com/office/drawing/2014/main" id="{00000000-0008-0000-0200-000070000000}"/>
            </a:ext>
          </a:extLst>
        </xdr:cNvPr>
        <xdr:cNvCxnSpPr/>
      </xdr:nvCxnSpPr>
      <xdr:spPr>
        <a:xfrm flipV="1">
          <a:off x="1927860" y="20741640"/>
          <a:ext cx="1805940" cy="76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98</xdr:row>
      <xdr:rowOff>0</xdr:rowOff>
    </xdr:from>
    <xdr:to>
      <xdr:col>6</xdr:col>
      <xdr:colOff>466725</xdr:colOff>
      <xdr:row>98</xdr:row>
      <xdr:rowOff>1588</xdr:rowOff>
    </xdr:to>
    <xdr:cxnSp macro="">
      <xdr:nvCxnSpPr>
        <xdr:cNvPr id="113" name="Straight Connector 112">
          <a:extLst>
            <a:ext uri="{FF2B5EF4-FFF2-40B4-BE49-F238E27FC236}">
              <a16:creationId xmlns:a16="http://schemas.microsoft.com/office/drawing/2014/main" id="{00000000-0008-0000-0200-000071000000}"/>
            </a:ext>
          </a:extLst>
        </xdr:cNvPr>
        <xdr:cNvCxnSpPr/>
      </xdr:nvCxnSpPr>
      <xdr:spPr>
        <a:xfrm>
          <a:off x="5577840" y="12321540"/>
          <a:ext cx="4667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1196340</xdr:colOff>
      <xdr:row>88</xdr:row>
      <xdr:rowOff>15240</xdr:rowOff>
    </xdr:from>
    <xdr:to>
      <xdr:col>1</xdr:col>
      <xdr:colOff>1196340</xdr:colOff>
      <xdr:row>99</xdr:row>
      <xdr:rowOff>22860</xdr:rowOff>
    </xdr:to>
    <xdr:cxnSp macro="">
      <xdr:nvCxnSpPr>
        <xdr:cNvPr id="115" name="Straight Arrow Connector 114">
          <a:extLst>
            <a:ext uri="{FF2B5EF4-FFF2-40B4-BE49-F238E27FC236}">
              <a16:creationId xmlns:a16="http://schemas.microsoft.com/office/drawing/2014/main" id="{00000000-0008-0000-0200-000073000000}"/>
            </a:ext>
          </a:extLst>
        </xdr:cNvPr>
        <xdr:cNvCxnSpPr/>
      </xdr:nvCxnSpPr>
      <xdr:spPr>
        <a:xfrm>
          <a:off x="1577340" y="18577560"/>
          <a:ext cx="0" cy="218694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74295</xdr:colOff>
      <xdr:row>98</xdr:row>
      <xdr:rowOff>192405</xdr:rowOff>
    </xdr:from>
    <xdr:to>
      <xdr:col>6</xdr:col>
      <xdr:colOff>550545</xdr:colOff>
      <xdr:row>98</xdr:row>
      <xdr:rowOff>193993</xdr:rowOff>
    </xdr:to>
    <xdr:cxnSp macro="">
      <xdr:nvCxnSpPr>
        <xdr:cNvPr id="116" name="Straight Connector 115">
          <a:extLst>
            <a:ext uri="{FF2B5EF4-FFF2-40B4-BE49-F238E27FC236}">
              <a16:creationId xmlns:a16="http://schemas.microsoft.com/office/drawing/2014/main" id="{00000000-0008-0000-0200-000074000000}"/>
            </a:ext>
          </a:extLst>
        </xdr:cNvPr>
        <xdr:cNvCxnSpPr/>
      </xdr:nvCxnSpPr>
      <xdr:spPr>
        <a:xfrm>
          <a:off x="4432935" y="20735925"/>
          <a:ext cx="4762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88</xdr:row>
      <xdr:rowOff>0</xdr:rowOff>
    </xdr:from>
    <xdr:to>
      <xdr:col>7</xdr:col>
      <xdr:colOff>22860</xdr:colOff>
      <xdr:row>88</xdr:row>
      <xdr:rowOff>0</xdr:rowOff>
    </xdr:to>
    <xdr:cxnSp macro="">
      <xdr:nvCxnSpPr>
        <xdr:cNvPr id="134" name="Straight Connector 133">
          <a:extLst>
            <a:ext uri="{FF2B5EF4-FFF2-40B4-BE49-F238E27FC236}">
              <a16:creationId xmlns:a16="http://schemas.microsoft.com/office/drawing/2014/main" id="{00000000-0008-0000-0200-000086000000}"/>
            </a:ext>
          </a:extLst>
        </xdr:cNvPr>
        <xdr:cNvCxnSpPr/>
      </xdr:nvCxnSpPr>
      <xdr:spPr>
        <a:xfrm>
          <a:off x="3749040" y="18562320"/>
          <a:ext cx="124206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160020</xdr:colOff>
      <xdr:row>88</xdr:row>
      <xdr:rowOff>0</xdr:rowOff>
    </xdr:from>
    <xdr:to>
      <xdr:col>6</xdr:col>
      <xdr:colOff>160020</xdr:colOff>
      <xdr:row>92</xdr:row>
      <xdr:rowOff>22860</xdr:rowOff>
    </xdr:to>
    <xdr:cxnSp macro="">
      <xdr:nvCxnSpPr>
        <xdr:cNvPr id="136" name="Straight Arrow Connector 135">
          <a:extLst>
            <a:ext uri="{FF2B5EF4-FFF2-40B4-BE49-F238E27FC236}">
              <a16:creationId xmlns:a16="http://schemas.microsoft.com/office/drawing/2014/main" id="{00000000-0008-0000-0200-000088000000}"/>
            </a:ext>
          </a:extLst>
        </xdr:cNvPr>
        <xdr:cNvCxnSpPr/>
      </xdr:nvCxnSpPr>
      <xdr:spPr>
        <a:xfrm>
          <a:off x="4518660" y="18562320"/>
          <a:ext cx="0" cy="81534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160020</xdr:colOff>
      <xdr:row>92</xdr:row>
      <xdr:rowOff>7620</xdr:rowOff>
    </xdr:from>
    <xdr:to>
      <xdr:col>6</xdr:col>
      <xdr:colOff>160020</xdr:colOff>
      <xdr:row>97</xdr:row>
      <xdr:rowOff>0</xdr:rowOff>
    </xdr:to>
    <xdr:cxnSp macro="">
      <xdr:nvCxnSpPr>
        <xdr:cNvPr id="138" name="Straight Arrow Connector 137">
          <a:extLst>
            <a:ext uri="{FF2B5EF4-FFF2-40B4-BE49-F238E27FC236}">
              <a16:creationId xmlns:a16="http://schemas.microsoft.com/office/drawing/2014/main" id="{00000000-0008-0000-0200-00008A000000}"/>
            </a:ext>
          </a:extLst>
        </xdr:cNvPr>
        <xdr:cNvCxnSpPr/>
      </xdr:nvCxnSpPr>
      <xdr:spPr>
        <a:xfrm>
          <a:off x="4518660" y="19362420"/>
          <a:ext cx="0" cy="98298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7620</xdr:colOff>
      <xdr:row>18</xdr:row>
      <xdr:rowOff>0</xdr:rowOff>
    </xdr:from>
    <xdr:to>
      <xdr:col>8</xdr:col>
      <xdr:colOff>17145</xdr:colOff>
      <xdr:row>18</xdr:row>
      <xdr:rowOff>1588</xdr:rowOff>
    </xdr:to>
    <xdr:cxnSp macro="">
      <xdr:nvCxnSpPr>
        <xdr:cNvPr id="149" name="Straight Connector 148">
          <a:extLst>
            <a:ext uri="{FF2B5EF4-FFF2-40B4-BE49-F238E27FC236}">
              <a16:creationId xmlns:a16="http://schemas.microsoft.com/office/drawing/2014/main" id="{00000000-0008-0000-0200-000095000000}"/>
            </a:ext>
          </a:extLst>
        </xdr:cNvPr>
        <xdr:cNvCxnSpPr/>
      </xdr:nvCxnSpPr>
      <xdr:spPr>
        <a:xfrm>
          <a:off x="1927860" y="3657600"/>
          <a:ext cx="3667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77"/>
  <sheetViews>
    <sheetView view="pageBreakPreview" topLeftCell="A345" zoomScaleSheetLayoutView="100" workbookViewId="0">
      <selection sqref="A1:I366"/>
    </sheetView>
  </sheetViews>
  <sheetFormatPr defaultColWidth="8.85546875" defaultRowHeight="15" x14ac:dyDescent="0.25"/>
  <cols>
    <col min="1" max="1" width="5" style="90" customWidth="1"/>
    <col min="2" max="2" width="23.28515625" style="90" customWidth="1"/>
    <col min="3" max="7" width="8.85546875" style="90"/>
    <col min="8" max="8" width="8.7109375" style="90" customWidth="1"/>
    <col min="9" max="9" width="9" style="90" customWidth="1"/>
    <col min="10" max="10" width="9.5703125" style="90" bestFit="1" customWidth="1"/>
    <col min="11" max="11" width="12.7109375" style="90" customWidth="1"/>
    <col min="12" max="12" width="12.7109375" style="91" customWidth="1"/>
    <col min="13" max="13" width="13.140625" style="90" customWidth="1"/>
    <col min="14" max="14" width="12.85546875" style="90" customWidth="1"/>
    <col min="15" max="15" width="11" style="90" customWidth="1"/>
    <col min="16" max="16" width="10" style="90" customWidth="1"/>
    <col min="17" max="17" width="9" style="90" customWidth="1"/>
    <col min="18" max="26" width="9" style="90" bestFit="1" customWidth="1"/>
    <col min="27" max="27" width="9.5703125" style="90" bestFit="1" customWidth="1"/>
    <col min="28" max="16384" width="8.85546875" style="90"/>
  </cols>
  <sheetData>
    <row r="1" spans="1:26" ht="18.75" x14ac:dyDescent="0.25">
      <c r="A1" s="174" t="s">
        <v>42</v>
      </c>
      <c r="B1" s="174"/>
      <c r="C1" s="174"/>
      <c r="D1" s="174"/>
      <c r="E1" s="174"/>
      <c r="F1" s="174"/>
      <c r="G1" s="174"/>
      <c r="H1" s="174"/>
      <c r="I1" s="174"/>
      <c r="J1" s="89"/>
    </row>
    <row r="2" spans="1:26" x14ac:dyDescent="0.25">
      <c r="A2" s="92"/>
      <c r="B2" s="92"/>
      <c r="C2" s="92"/>
      <c r="D2" s="92"/>
      <c r="E2" s="92"/>
      <c r="F2" s="92"/>
      <c r="G2" s="92"/>
      <c r="H2" s="92"/>
      <c r="I2" s="92"/>
      <c r="J2" s="92"/>
    </row>
    <row r="3" spans="1:26" ht="18.75" x14ac:dyDescent="0.25">
      <c r="A3" s="93">
        <v>1</v>
      </c>
      <c r="B3" s="94" t="s">
        <v>39</v>
      </c>
      <c r="C3" s="93"/>
      <c r="D3" s="93"/>
      <c r="E3" s="93"/>
      <c r="F3" s="93"/>
      <c r="G3" s="93"/>
      <c r="H3" s="93"/>
      <c r="I3" s="93"/>
    </row>
    <row r="4" spans="1:26" ht="15.75" x14ac:dyDescent="0.25">
      <c r="A4" s="93"/>
      <c r="B4" s="95" t="s">
        <v>43</v>
      </c>
      <c r="C4" s="96"/>
      <c r="D4" s="96"/>
      <c r="E4" s="96"/>
      <c r="F4" s="96"/>
      <c r="G4" s="96"/>
      <c r="H4" s="96"/>
      <c r="I4" s="96"/>
      <c r="K4" s="90" t="s">
        <v>229</v>
      </c>
      <c r="L4" s="91" t="s">
        <v>233</v>
      </c>
      <c r="M4" s="90" t="s">
        <v>230</v>
      </c>
      <c r="N4" s="90" t="s">
        <v>231</v>
      </c>
      <c r="O4" s="90" t="s">
        <v>228</v>
      </c>
      <c r="P4" s="90" t="s">
        <v>232</v>
      </c>
      <c r="Q4" s="90" t="s">
        <v>234</v>
      </c>
      <c r="R4" s="90" t="s">
        <v>235</v>
      </c>
      <c r="S4" s="90" t="s">
        <v>236</v>
      </c>
      <c r="T4" s="90" t="s">
        <v>237</v>
      </c>
      <c r="U4" s="90" t="s">
        <v>238</v>
      </c>
      <c r="V4" s="90" t="s">
        <v>239</v>
      </c>
      <c r="W4" s="90" t="s">
        <v>240</v>
      </c>
      <c r="X4" s="90" t="s">
        <v>241</v>
      </c>
      <c r="Y4" s="90" t="s">
        <v>242</v>
      </c>
      <c r="Z4" s="90" t="s">
        <v>243</v>
      </c>
    </row>
    <row r="5" spans="1:26" ht="15.75" x14ac:dyDescent="0.25">
      <c r="A5" s="93"/>
      <c r="B5" s="97" t="s">
        <v>45</v>
      </c>
      <c r="C5" s="96" t="s">
        <v>8</v>
      </c>
      <c r="D5" s="96">
        <v>0.56000000000000005</v>
      </c>
      <c r="E5" s="96" t="s">
        <v>44</v>
      </c>
      <c r="F5" s="96">
        <v>0.02</v>
      </c>
      <c r="G5" s="96"/>
      <c r="H5" s="96"/>
      <c r="I5" s="96"/>
    </row>
    <row r="6" spans="1:26" ht="15.75" x14ac:dyDescent="0.25">
      <c r="A6" s="93"/>
      <c r="B6" s="97" t="s">
        <v>46</v>
      </c>
      <c r="C6" s="96" t="s">
        <v>8</v>
      </c>
      <c r="D6" s="96">
        <v>0.4</v>
      </c>
      <c r="E6" s="96" t="s">
        <v>44</v>
      </c>
      <c r="F6" s="96">
        <v>0.02</v>
      </c>
      <c r="G6" s="96"/>
      <c r="H6" s="96"/>
      <c r="I6" s="96"/>
    </row>
    <row r="7" spans="1:26" ht="15.75" x14ac:dyDescent="0.25">
      <c r="A7" s="93"/>
      <c r="B7" s="97" t="s">
        <v>47</v>
      </c>
      <c r="C7" s="96" t="s">
        <v>8</v>
      </c>
      <c r="D7" s="96">
        <v>1</v>
      </c>
      <c r="E7" s="96" t="s">
        <v>44</v>
      </c>
      <c r="F7" s="96">
        <v>1</v>
      </c>
      <c r="G7" s="96" t="s">
        <v>44</v>
      </c>
      <c r="H7" s="96">
        <v>3.2000000000000001E-2</v>
      </c>
      <c r="I7" s="96"/>
    </row>
    <row r="8" spans="1:26" ht="15.75" x14ac:dyDescent="0.25">
      <c r="A8" s="93"/>
      <c r="B8" s="97" t="s">
        <v>11</v>
      </c>
      <c r="C8" s="96"/>
      <c r="D8" s="96"/>
      <c r="E8" s="96"/>
      <c r="F8" s="96" t="s">
        <v>8</v>
      </c>
      <c r="G8" s="96">
        <v>7850</v>
      </c>
      <c r="H8" s="97" t="s">
        <v>10</v>
      </c>
    </row>
    <row r="9" spans="1:26" ht="15.75" x14ac:dyDescent="0.25">
      <c r="A9" s="93"/>
      <c r="B9" s="97" t="s">
        <v>12</v>
      </c>
      <c r="C9" s="96"/>
      <c r="D9" s="96"/>
      <c r="E9" s="96"/>
      <c r="F9" s="96" t="s">
        <v>8</v>
      </c>
      <c r="G9" s="96">
        <v>8.6029999999999998</v>
      </c>
      <c r="H9" s="97" t="s">
        <v>13</v>
      </c>
    </row>
    <row r="10" spans="1:26" ht="15.75" x14ac:dyDescent="0.25">
      <c r="A10" s="93"/>
      <c r="B10" s="97" t="s">
        <v>14</v>
      </c>
      <c r="C10" s="96"/>
      <c r="D10" s="96"/>
      <c r="E10" s="96"/>
      <c r="F10" s="96" t="s">
        <v>8</v>
      </c>
      <c r="G10" s="96">
        <v>35.799999999999997</v>
      </c>
      <c r="H10" s="97" t="s">
        <v>9</v>
      </c>
    </row>
    <row r="11" spans="1:26" ht="15.75" x14ac:dyDescent="0.25">
      <c r="A11" s="93"/>
      <c r="B11" s="97" t="s">
        <v>41</v>
      </c>
      <c r="C11" s="96"/>
      <c r="D11" s="96"/>
      <c r="E11" s="96"/>
      <c r="F11" s="96" t="s">
        <v>8</v>
      </c>
      <c r="G11" s="96">
        <v>11</v>
      </c>
      <c r="H11" s="97" t="s">
        <v>9</v>
      </c>
    </row>
    <row r="12" spans="1:26" ht="15.75" x14ac:dyDescent="0.25">
      <c r="A12" s="93"/>
      <c r="B12" s="97" t="s">
        <v>26</v>
      </c>
      <c r="C12" s="96"/>
      <c r="D12" s="96"/>
      <c r="E12" s="96"/>
      <c r="F12" s="96" t="s">
        <v>8</v>
      </c>
      <c r="G12" s="96">
        <v>7.7</v>
      </c>
      <c r="H12" s="97" t="s">
        <v>9</v>
      </c>
      <c r="I12" s="96"/>
    </row>
    <row r="13" spans="1:26" ht="15.75" x14ac:dyDescent="0.25">
      <c r="A13" s="93"/>
      <c r="B13" s="97" t="s">
        <v>68</v>
      </c>
      <c r="C13" s="96"/>
      <c r="D13" s="96"/>
      <c r="E13" s="96"/>
      <c r="F13" s="96"/>
      <c r="G13" s="96"/>
      <c r="H13" s="97"/>
      <c r="I13" s="96"/>
    </row>
    <row r="14" spans="1:26" ht="15.75" x14ac:dyDescent="0.25">
      <c r="A14" s="93"/>
      <c r="B14" s="97" t="s">
        <v>69</v>
      </c>
      <c r="C14" s="96"/>
      <c r="D14" s="96"/>
      <c r="E14" s="96"/>
      <c r="F14" s="96" t="s">
        <v>8</v>
      </c>
      <c r="G14" s="96">
        <v>22.3</v>
      </c>
      <c r="H14" s="97" t="s">
        <v>9</v>
      </c>
      <c r="I14" s="96"/>
    </row>
    <row r="15" spans="1:26" ht="15.75" x14ac:dyDescent="0.25">
      <c r="A15" s="93"/>
      <c r="B15" s="97" t="s">
        <v>75</v>
      </c>
      <c r="C15" s="96"/>
      <c r="D15" s="96"/>
      <c r="E15" s="96"/>
      <c r="F15" s="96" t="s">
        <v>8</v>
      </c>
      <c r="G15" s="96">
        <v>19.7</v>
      </c>
      <c r="H15" s="97" t="s">
        <v>9</v>
      </c>
      <c r="I15" s="96"/>
    </row>
    <row r="16" spans="1:26" ht="15.75" x14ac:dyDescent="0.25">
      <c r="A16" s="93"/>
      <c r="B16" s="97" t="s">
        <v>25</v>
      </c>
      <c r="C16" s="96"/>
      <c r="D16" s="96"/>
      <c r="E16" s="96"/>
      <c r="F16" s="96"/>
      <c r="G16" s="96"/>
      <c r="H16" s="97"/>
      <c r="I16" s="96"/>
    </row>
    <row r="17" spans="1:22" ht="15.75" x14ac:dyDescent="0.25">
      <c r="A17" s="93"/>
      <c r="C17" s="96"/>
      <c r="D17" s="96"/>
      <c r="E17" s="96"/>
      <c r="F17" s="96"/>
      <c r="G17" s="96"/>
      <c r="H17" s="96"/>
      <c r="I17" s="96"/>
    </row>
    <row r="18" spans="1:22" ht="15.75" x14ac:dyDescent="0.25">
      <c r="A18" s="98" t="s">
        <v>23</v>
      </c>
    </row>
    <row r="20" spans="1:22" ht="15.75" x14ac:dyDescent="0.25">
      <c r="A20" s="99" t="s">
        <v>2</v>
      </c>
      <c r="B20" s="99" t="s">
        <v>0</v>
      </c>
      <c r="C20" s="99" t="s">
        <v>1</v>
      </c>
      <c r="D20" s="99" t="s">
        <v>21</v>
      </c>
      <c r="E20" s="99" t="s">
        <v>15</v>
      </c>
      <c r="F20" s="99" t="s">
        <v>16</v>
      </c>
      <c r="G20" s="99" t="s">
        <v>18</v>
      </c>
      <c r="H20" s="99" t="s">
        <v>17</v>
      </c>
      <c r="I20" s="99" t="s">
        <v>6</v>
      </c>
    </row>
    <row r="21" spans="1:22" ht="15.75" x14ac:dyDescent="0.25">
      <c r="A21" s="100">
        <v>1</v>
      </c>
      <c r="B21" s="101" t="s">
        <v>19</v>
      </c>
      <c r="C21" s="99"/>
      <c r="D21" s="99"/>
      <c r="E21" s="99"/>
      <c r="F21" s="99"/>
      <c r="G21" s="99"/>
      <c r="H21" s="99"/>
      <c r="I21" s="99"/>
    </row>
    <row r="22" spans="1:22" x14ac:dyDescent="0.25">
      <c r="A22" s="102"/>
      <c r="B22" s="103" t="s">
        <v>20</v>
      </c>
      <c r="C22" s="104" t="s">
        <v>5</v>
      </c>
      <c r="D22" s="104">
        <v>8</v>
      </c>
      <c r="E22" s="105">
        <v>1</v>
      </c>
      <c r="F22" s="104">
        <v>1</v>
      </c>
      <c r="G22" s="104">
        <v>3.2000000000000001E-2</v>
      </c>
      <c r="H22" s="104" t="s">
        <v>22</v>
      </c>
      <c r="I22" s="106">
        <f>(D22*E22*F22*G22)*7850</f>
        <v>2009.6000000000001</v>
      </c>
      <c r="Q22" s="107">
        <f>I22</f>
        <v>2009.6000000000001</v>
      </c>
    </row>
    <row r="23" spans="1:22" x14ac:dyDescent="0.25">
      <c r="A23" s="104"/>
      <c r="B23" s="103" t="s">
        <v>48</v>
      </c>
      <c r="C23" s="104" t="s">
        <v>5</v>
      </c>
      <c r="D23" s="104">
        <f>12*8</f>
        <v>96</v>
      </c>
      <c r="E23" s="105">
        <v>0.19</v>
      </c>
      <c r="F23" s="104">
        <v>0.56000000000000005</v>
      </c>
      <c r="G23" s="104">
        <v>0.02</v>
      </c>
      <c r="H23" s="104" t="s">
        <v>22</v>
      </c>
      <c r="I23" s="106">
        <f>(D23*E23*F23*G23)*7850</f>
        <v>1603.6608000000001</v>
      </c>
      <c r="R23" s="107">
        <f>I23</f>
        <v>1603.6608000000001</v>
      </c>
    </row>
    <row r="24" spans="1:22" x14ac:dyDescent="0.25">
      <c r="A24" s="104"/>
      <c r="B24" s="103" t="s">
        <v>49</v>
      </c>
      <c r="C24" s="104" t="s">
        <v>5</v>
      </c>
      <c r="D24" s="104">
        <f>4*8</f>
        <v>32</v>
      </c>
      <c r="E24" s="105">
        <v>0.16500000000000001</v>
      </c>
      <c r="F24" s="104">
        <v>0.4</v>
      </c>
      <c r="G24" s="104">
        <v>0.02</v>
      </c>
      <c r="H24" s="104" t="s">
        <v>22</v>
      </c>
      <c r="I24" s="106">
        <f>(D24*E24*F24*G24)*7850</f>
        <v>331.584</v>
      </c>
      <c r="R24" s="107">
        <f>I24</f>
        <v>331.584</v>
      </c>
    </row>
    <row r="25" spans="1:22" x14ac:dyDescent="0.25">
      <c r="A25" s="104"/>
      <c r="B25" s="103" t="s">
        <v>50</v>
      </c>
      <c r="C25" s="104" t="s">
        <v>5</v>
      </c>
      <c r="D25" s="104">
        <f>4*8</f>
        <v>32</v>
      </c>
      <c r="E25" s="105">
        <v>0.4</v>
      </c>
      <c r="F25" s="104">
        <v>0.56000000000000005</v>
      </c>
      <c r="G25" s="104">
        <v>0.02</v>
      </c>
      <c r="H25" s="104" t="s">
        <v>22</v>
      </c>
      <c r="I25" s="106">
        <f>(D25*E25*F25*G25)*7850</f>
        <v>1125.3760000000002</v>
      </c>
      <c r="R25" s="107">
        <f>I25</f>
        <v>1125.3760000000002</v>
      </c>
    </row>
    <row r="26" spans="1:22" x14ac:dyDescent="0.25">
      <c r="A26" s="104"/>
      <c r="B26" s="103" t="s">
        <v>51</v>
      </c>
      <c r="C26" s="104" t="s">
        <v>5</v>
      </c>
      <c r="D26" s="104">
        <f>2*8</f>
        <v>16</v>
      </c>
      <c r="E26" s="105">
        <v>0.4</v>
      </c>
      <c r="F26" s="104" t="s">
        <v>22</v>
      </c>
      <c r="G26" s="104" t="s">
        <v>22</v>
      </c>
      <c r="H26" s="104" t="s">
        <v>22</v>
      </c>
      <c r="I26" s="108">
        <f>(D26*E26*G10)</f>
        <v>229.12</v>
      </c>
      <c r="L26" s="109">
        <f>I26</f>
        <v>229.12</v>
      </c>
    </row>
    <row r="27" spans="1:22" x14ac:dyDescent="0.25">
      <c r="A27" s="104"/>
      <c r="B27" s="103" t="s">
        <v>52</v>
      </c>
      <c r="C27" s="104" t="s">
        <v>5</v>
      </c>
      <c r="D27" s="104">
        <f>2*8</f>
        <v>16</v>
      </c>
      <c r="E27" s="105">
        <v>1</v>
      </c>
      <c r="F27" s="104" t="s">
        <v>22</v>
      </c>
      <c r="G27" s="104" t="s">
        <v>22</v>
      </c>
      <c r="H27" s="104" t="s">
        <v>22</v>
      </c>
      <c r="I27" s="108">
        <f>(D27*E27*G10)</f>
        <v>572.79999999999995</v>
      </c>
      <c r="L27" s="109">
        <f>I27</f>
        <v>572.79999999999995</v>
      </c>
    </row>
    <row r="28" spans="1:22" x14ac:dyDescent="0.25">
      <c r="A28" s="104"/>
      <c r="B28" s="103" t="s">
        <v>53</v>
      </c>
      <c r="C28" s="104" t="s">
        <v>5</v>
      </c>
      <c r="D28" s="104">
        <f>2*8</f>
        <v>16</v>
      </c>
      <c r="E28" s="105">
        <v>0.4</v>
      </c>
      <c r="F28" s="104">
        <v>1</v>
      </c>
      <c r="G28" s="104">
        <v>0.02</v>
      </c>
      <c r="H28" s="104" t="s">
        <v>22</v>
      </c>
      <c r="I28" s="106">
        <f>(D28*E28*F28*G28)*7850</f>
        <v>1004.8000000000001</v>
      </c>
      <c r="R28" s="107">
        <f>I28</f>
        <v>1004.8000000000001</v>
      </c>
    </row>
    <row r="29" spans="1:22" x14ac:dyDescent="0.25">
      <c r="A29" s="104"/>
      <c r="B29" s="103" t="s">
        <v>56</v>
      </c>
      <c r="C29" s="104" t="s">
        <v>5</v>
      </c>
      <c r="D29" s="104">
        <f>8*8</f>
        <v>64</v>
      </c>
      <c r="E29" s="105">
        <v>2</v>
      </c>
      <c r="F29" s="104" t="s">
        <v>22</v>
      </c>
      <c r="G29" s="104" t="s">
        <v>22</v>
      </c>
      <c r="H29" s="104" t="s">
        <v>22</v>
      </c>
      <c r="I29" s="110">
        <v>830.08</v>
      </c>
      <c r="V29" s="107">
        <f>I30</f>
        <v>339.12</v>
      </c>
    </row>
    <row r="30" spans="1:22" x14ac:dyDescent="0.25">
      <c r="A30" s="104"/>
      <c r="B30" s="103" t="s">
        <v>223</v>
      </c>
      <c r="C30" s="104" t="s">
        <v>5</v>
      </c>
      <c r="D30" s="104">
        <f>2*2*16</f>
        <v>64</v>
      </c>
      <c r="E30" s="105">
        <v>0.9</v>
      </c>
      <c r="F30" s="104" t="s">
        <v>22</v>
      </c>
      <c r="G30" s="104" t="s">
        <v>22</v>
      </c>
      <c r="H30" s="104" t="s">
        <v>22</v>
      </c>
      <c r="I30" s="106">
        <f>(D30*E30*0.075*0.01*7850)</f>
        <v>339.12</v>
      </c>
    </row>
    <row r="31" spans="1:22" x14ac:dyDescent="0.25">
      <c r="A31" s="104"/>
      <c r="B31" s="104"/>
      <c r="C31" s="104"/>
      <c r="D31" s="104"/>
      <c r="E31" s="105"/>
      <c r="F31" s="104"/>
      <c r="G31" s="104"/>
      <c r="H31" s="104"/>
      <c r="I31" s="110"/>
    </row>
    <row r="32" spans="1:22" ht="15.75" x14ac:dyDescent="0.25">
      <c r="A32" s="104">
        <v>2</v>
      </c>
      <c r="B32" s="111" t="s">
        <v>24</v>
      </c>
      <c r="C32" s="104"/>
      <c r="D32" s="104"/>
      <c r="E32" s="105"/>
      <c r="F32" s="104"/>
      <c r="G32" s="104"/>
      <c r="H32" s="104"/>
      <c r="I32" s="110"/>
    </row>
    <row r="33" spans="1:19" x14ac:dyDescent="0.25">
      <c r="A33" s="104"/>
      <c r="B33" s="103" t="s">
        <v>54</v>
      </c>
      <c r="C33" s="104" t="s">
        <v>5</v>
      </c>
      <c r="D33" s="104">
        <v>8</v>
      </c>
      <c r="E33" s="105">
        <v>1</v>
      </c>
      <c r="F33" s="104">
        <f>D5</f>
        <v>0.56000000000000005</v>
      </c>
      <c r="G33" s="104">
        <f>F5</f>
        <v>0.02</v>
      </c>
      <c r="H33" s="104">
        <f>G9</f>
        <v>8.6029999999999998</v>
      </c>
      <c r="I33" s="106">
        <f>(D33*E33*F33*G33*H33)*G8</f>
        <v>6051.006080000001</v>
      </c>
      <c r="R33" s="107">
        <f>I33</f>
        <v>6051.006080000001</v>
      </c>
    </row>
    <row r="34" spans="1:19" x14ac:dyDescent="0.25">
      <c r="A34" s="104"/>
      <c r="B34" s="103" t="s">
        <v>55</v>
      </c>
      <c r="C34" s="104" t="s">
        <v>5</v>
      </c>
      <c r="D34" s="104">
        <f>2*8</f>
        <v>16</v>
      </c>
      <c r="E34" s="105">
        <v>1</v>
      </c>
      <c r="F34" s="104">
        <f>D6</f>
        <v>0.4</v>
      </c>
      <c r="G34" s="104">
        <f>F6</f>
        <v>0.02</v>
      </c>
      <c r="H34" s="104">
        <f>G9</f>
        <v>8.6029999999999998</v>
      </c>
      <c r="I34" s="106">
        <f>(D34*E34*F34*G34*H34)*G8</f>
        <v>8644.2943999999989</v>
      </c>
      <c r="R34" s="107">
        <f>I34</f>
        <v>8644.2943999999989</v>
      </c>
    </row>
    <row r="35" spans="1:19" x14ac:dyDescent="0.25">
      <c r="A35" s="104"/>
      <c r="B35" s="103"/>
      <c r="C35" s="104"/>
      <c r="D35" s="104"/>
      <c r="E35" s="105"/>
      <c r="F35" s="104"/>
      <c r="G35" s="104"/>
      <c r="H35" s="104"/>
      <c r="I35" s="110"/>
    </row>
    <row r="36" spans="1:19" ht="15.75" x14ac:dyDescent="0.25">
      <c r="A36" s="104">
        <v>3</v>
      </c>
      <c r="B36" s="112" t="s">
        <v>57</v>
      </c>
      <c r="C36" s="104"/>
      <c r="D36" s="104"/>
      <c r="E36" s="105"/>
      <c r="F36" s="104"/>
      <c r="G36" s="104"/>
      <c r="H36" s="104"/>
      <c r="I36" s="110"/>
      <c r="O36" s="107">
        <f>I37</f>
        <v>792</v>
      </c>
    </row>
    <row r="37" spans="1:19" x14ac:dyDescent="0.25">
      <c r="A37" s="104"/>
      <c r="B37" s="103" t="s">
        <v>58</v>
      </c>
      <c r="C37" s="104" t="s">
        <v>5</v>
      </c>
      <c r="D37" s="104">
        <f>2*4*4</f>
        <v>32</v>
      </c>
      <c r="E37" s="105">
        <v>2.25</v>
      </c>
      <c r="F37" s="104" t="s">
        <v>22</v>
      </c>
      <c r="G37" s="104" t="s">
        <v>22</v>
      </c>
      <c r="H37" s="104" t="s">
        <v>22</v>
      </c>
      <c r="I37" s="108">
        <f>(D37*E37*G11)</f>
        <v>792</v>
      </c>
      <c r="O37" s="107">
        <f>I38</f>
        <v>1041.92</v>
      </c>
    </row>
    <row r="38" spans="1:19" x14ac:dyDescent="0.25">
      <c r="A38" s="104"/>
      <c r="B38" s="103" t="s">
        <v>59</v>
      </c>
      <c r="C38" s="104" t="s">
        <v>5</v>
      </c>
      <c r="D38" s="104">
        <f>2*8*2</f>
        <v>32</v>
      </c>
      <c r="E38" s="105">
        <v>2.96</v>
      </c>
      <c r="F38" s="104" t="s">
        <v>22</v>
      </c>
      <c r="G38" s="104" t="s">
        <v>22</v>
      </c>
      <c r="H38" s="104" t="s">
        <v>22</v>
      </c>
      <c r="I38" s="108">
        <f>(D38*E38*G11)</f>
        <v>1041.92</v>
      </c>
      <c r="O38" s="107">
        <f>I39</f>
        <v>1239.04</v>
      </c>
    </row>
    <row r="39" spans="1:19" x14ac:dyDescent="0.25">
      <c r="A39" s="104"/>
      <c r="B39" s="103" t="s">
        <v>60</v>
      </c>
      <c r="C39" s="104" t="s">
        <v>5</v>
      </c>
      <c r="D39" s="104">
        <f>2*16*2</f>
        <v>64</v>
      </c>
      <c r="E39" s="105">
        <v>1.76</v>
      </c>
      <c r="F39" s="104" t="s">
        <v>22</v>
      </c>
      <c r="G39" s="104" t="s">
        <v>22</v>
      </c>
      <c r="H39" s="104" t="s">
        <v>22</v>
      </c>
      <c r="I39" s="108">
        <f>(D39*E39*G11)</f>
        <v>1239.04</v>
      </c>
      <c r="O39" s="107">
        <f>I40</f>
        <v>1008.832</v>
      </c>
    </row>
    <row r="40" spans="1:19" x14ac:dyDescent="0.25">
      <c r="A40" s="104"/>
      <c r="B40" s="103" t="s">
        <v>61</v>
      </c>
      <c r="C40" s="104" t="s">
        <v>5</v>
      </c>
      <c r="D40" s="104">
        <f>2*16*2</f>
        <v>64</v>
      </c>
      <c r="E40" s="105">
        <v>1.4330000000000001</v>
      </c>
      <c r="F40" s="104" t="s">
        <v>22</v>
      </c>
      <c r="G40" s="104" t="s">
        <v>22</v>
      </c>
      <c r="H40" s="104" t="s">
        <v>22</v>
      </c>
      <c r="I40" s="108">
        <f>(D40*E40*G11)</f>
        <v>1008.832</v>
      </c>
      <c r="P40" s="107">
        <f>I41</f>
        <v>36.96</v>
      </c>
    </row>
    <row r="41" spans="1:19" x14ac:dyDescent="0.25">
      <c r="A41" s="104"/>
      <c r="B41" s="103" t="s">
        <v>62</v>
      </c>
      <c r="C41" s="104" t="s">
        <v>5</v>
      </c>
      <c r="D41" s="104">
        <f>2*16</f>
        <v>32</v>
      </c>
      <c r="E41" s="105">
        <v>0.15</v>
      </c>
      <c r="F41" s="104" t="s">
        <v>22</v>
      </c>
      <c r="G41" s="104" t="s">
        <v>22</v>
      </c>
      <c r="H41" s="104" t="s">
        <v>22</v>
      </c>
      <c r="I41" s="108">
        <f>D41*E41*G12</f>
        <v>36.96</v>
      </c>
    </row>
    <row r="42" spans="1:19" ht="15.75" x14ac:dyDescent="0.25">
      <c r="A42" s="104"/>
      <c r="B42" s="111" t="s">
        <v>27</v>
      </c>
      <c r="C42" s="104"/>
      <c r="D42" s="104"/>
      <c r="E42" s="105"/>
      <c r="F42" s="104"/>
      <c r="G42" s="104"/>
      <c r="H42" s="104"/>
      <c r="I42" s="110"/>
    </row>
    <row r="43" spans="1:19" x14ac:dyDescent="0.25">
      <c r="A43" s="104"/>
      <c r="B43" s="103" t="s">
        <v>28</v>
      </c>
      <c r="C43" s="104" t="s">
        <v>5</v>
      </c>
      <c r="D43" s="104">
        <f>2*16</f>
        <v>32</v>
      </c>
      <c r="E43" s="105">
        <v>0.29299999999999998</v>
      </c>
      <c r="F43" s="104">
        <v>0.24399999999999999</v>
      </c>
      <c r="G43" s="104">
        <v>0.01</v>
      </c>
      <c r="H43" s="104" t="s">
        <v>22</v>
      </c>
      <c r="I43" s="106">
        <f t="shared" ref="I43:I48" si="0">(D43*E43*F43*G43)*7850</f>
        <v>179.58790399999998</v>
      </c>
      <c r="R43" s="107"/>
      <c r="S43" s="107">
        <f t="shared" ref="S43:S48" si="1">I43</f>
        <v>179.58790399999998</v>
      </c>
    </row>
    <row r="44" spans="1:19" x14ac:dyDescent="0.25">
      <c r="A44" s="104"/>
      <c r="B44" s="103" t="s">
        <v>29</v>
      </c>
      <c r="C44" s="104" t="s">
        <v>5</v>
      </c>
      <c r="D44" s="104">
        <f>2*16</f>
        <v>32</v>
      </c>
      <c r="E44" s="105">
        <v>0.19400000000000001</v>
      </c>
      <c r="F44" s="104">
        <v>0.19</v>
      </c>
      <c r="G44" s="104">
        <v>0.01</v>
      </c>
      <c r="H44" s="104" t="s">
        <v>22</v>
      </c>
      <c r="I44" s="106">
        <f t="shared" si="0"/>
        <v>92.592320000000015</v>
      </c>
      <c r="S44" s="107">
        <f t="shared" si="1"/>
        <v>92.592320000000015</v>
      </c>
    </row>
    <row r="45" spans="1:19" x14ac:dyDescent="0.25">
      <c r="A45" s="104"/>
      <c r="B45" s="103" t="s">
        <v>30</v>
      </c>
      <c r="C45" s="104" t="s">
        <v>5</v>
      </c>
      <c r="D45" s="104">
        <f>2*6</f>
        <v>12</v>
      </c>
      <c r="E45" s="105">
        <v>0.22600000000000001</v>
      </c>
      <c r="F45" s="104">
        <v>0.48699999999999999</v>
      </c>
      <c r="G45" s="104">
        <v>0.01</v>
      </c>
      <c r="H45" s="104" t="s">
        <v>22</v>
      </c>
      <c r="I45" s="106">
        <f t="shared" si="0"/>
        <v>103.678404</v>
      </c>
      <c r="S45" s="107">
        <f t="shared" si="1"/>
        <v>103.678404</v>
      </c>
    </row>
    <row r="46" spans="1:19" x14ac:dyDescent="0.25">
      <c r="A46" s="104"/>
      <c r="B46" s="103" t="s">
        <v>31</v>
      </c>
      <c r="C46" s="104" t="s">
        <v>5</v>
      </c>
      <c r="D46" s="104">
        <v>4</v>
      </c>
      <c r="E46" s="105">
        <v>0.48699999999999999</v>
      </c>
      <c r="F46" s="104">
        <v>0.4</v>
      </c>
      <c r="G46" s="104">
        <v>0.01</v>
      </c>
      <c r="H46" s="104" t="s">
        <v>22</v>
      </c>
      <c r="I46" s="106">
        <f t="shared" si="0"/>
        <v>61.167200000000001</v>
      </c>
      <c r="S46" s="107">
        <f t="shared" si="1"/>
        <v>61.167200000000001</v>
      </c>
    </row>
    <row r="47" spans="1:19" x14ac:dyDescent="0.25">
      <c r="A47" s="104"/>
      <c r="B47" s="103" t="s">
        <v>32</v>
      </c>
      <c r="C47" s="104" t="s">
        <v>5</v>
      </c>
      <c r="D47" s="104">
        <f>2*6</f>
        <v>12</v>
      </c>
      <c r="E47" s="105">
        <v>0.41499999999999998</v>
      </c>
      <c r="F47" s="104">
        <v>0.23599999999999999</v>
      </c>
      <c r="G47" s="104">
        <v>0.01</v>
      </c>
      <c r="H47" s="104" t="s">
        <v>22</v>
      </c>
      <c r="I47" s="106">
        <f t="shared" si="0"/>
        <v>92.259479999999996</v>
      </c>
      <c r="S47" s="107">
        <f t="shared" si="1"/>
        <v>92.259479999999996</v>
      </c>
    </row>
    <row r="48" spans="1:19" x14ac:dyDescent="0.25">
      <c r="A48" s="104"/>
      <c r="B48" s="103" t="s">
        <v>33</v>
      </c>
      <c r="C48" s="104" t="s">
        <v>5</v>
      </c>
      <c r="D48" s="104">
        <v>4</v>
      </c>
      <c r="E48" s="105">
        <v>0.36899999999999999</v>
      </c>
      <c r="F48" s="104">
        <v>0.34499999999999997</v>
      </c>
      <c r="G48" s="104">
        <v>0.01</v>
      </c>
      <c r="H48" s="104" t="s">
        <v>22</v>
      </c>
      <c r="I48" s="106">
        <f t="shared" si="0"/>
        <v>39.973770000000002</v>
      </c>
      <c r="S48" s="107">
        <f t="shared" si="1"/>
        <v>39.973770000000002</v>
      </c>
    </row>
    <row r="49" spans="1:25" x14ac:dyDescent="0.25">
      <c r="A49" s="104"/>
      <c r="B49" s="103"/>
      <c r="C49" s="104"/>
      <c r="D49" s="104"/>
      <c r="E49" s="105"/>
      <c r="F49" s="104"/>
      <c r="G49" s="104"/>
      <c r="H49" s="104"/>
      <c r="I49" s="110"/>
      <c r="S49" s="107"/>
    </row>
    <row r="50" spans="1:25" ht="15.75" x14ac:dyDescent="0.25">
      <c r="A50" s="104">
        <v>4</v>
      </c>
      <c r="B50" s="112" t="s">
        <v>63</v>
      </c>
      <c r="C50" s="104"/>
      <c r="D50" s="104"/>
      <c r="E50" s="105"/>
      <c r="F50" s="104"/>
      <c r="G50" s="104"/>
      <c r="H50" s="104"/>
      <c r="I50" s="110"/>
    </row>
    <row r="51" spans="1:25" x14ac:dyDescent="0.25">
      <c r="A51" s="104"/>
      <c r="B51" s="103" t="s">
        <v>64</v>
      </c>
      <c r="C51" s="104" t="s">
        <v>5</v>
      </c>
      <c r="D51" s="104">
        <v>4</v>
      </c>
      <c r="E51" s="105">
        <v>0.8</v>
      </c>
      <c r="F51" s="104">
        <v>0.45</v>
      </c>
      <c r="G51" s="104">
        <v>0.02</v>
      </c>
      <c r="H51" s="104" t="s">
        <v>22</v>
      </c>
      <c r="I51" s="106">
        <f>(D51*E51*F51*G51)*7850</f>
        <v>226.08</v>
      </c>
      <c r="R51" s="107">
        <f>I51</f>
        <v>226.08</v>
      </c>
    </row>
    <row r="52" spans="1:25" x14ac:dyDescent="0.25">
      <c r="A52" s="104"/>
      <c r="B52" s="103" t="s">
        <v>65</v>
      </c>
      <c r="C52" s="104" t="s">
        <v>5</v>
      </c>
      <c r="D52" s="104">
        <v>4</v>
      </c>
      <c r="E52" s="105">
        <v>0.33</v>
      </c>
      <c r="F52" s="104">
        <v>0.43</v>
      </c>
      <c r="G52" s="104">
        <v>0.02</v>
      </c>
      <c r="H52" s="104" t="s">
        <v>22</v>
      </c>
      <c r="I52" s="106">
        <f>(D52*E52*F52*G52)*7850</f>
        <v>89.113199999999992</v>
      </c>
      <c r="R52" s="107">
        <f>I52</f>
        <v>89.113199999999992</v>
      </c>
    </row>
    <row r="53" spans="1:25" x14ac:dyDescent="0.25">
      <c r="A53" s="104"/>
      <c r="B53" s="103"/>
      <c r="C53" s="104"/>
      <c r="D53" s="104"/>
      <c r="E53" s="105"/>
      <c r="F53" s="104"/>
      <c r="G53" s="104"/>
      <c r="H53" s="104"/>
      <c r="I53" s="110"/>
    </row>
    <row r="54" spans="1:25" ht="15.75" x14ac:dyDescent="0.25">
      <c r="A54" s="104">
        <v>5</v>
      </c>
      <c r="B54" s="112" t="s">
        <v>66</v>
      </c>
      <c r="C54" s="104"/>
      <c r="D54" s="104"/>
      <c r="E54" s="105"/>
      <c r="F54" s="104"/>
      <c r="G54" s="104"/>
      <c r="H54" s="104"/>
      <c r="I54" s="110"/>
    </row>
    <row r="55" spans="1:25" x14ac:dyDescent="0.25">
      <c r="A55" s="104"/>
      <c r="B55" s="103" t="s">
        <v>67</v>
      </c>
      <c r="C55" s="104" t="s">
        <v>5</v>
      </c>
      <c r="D55" s="104">
        <f>2*4</f>
        <v>8</v>
      </c>
      <c r="E55" s="105">
        <v>2.96</v>
      </c>
      <c r="F55" s="104" t="s">
        <v>22</v>
      </c>
      <c r="G55" s="104" t="s">
        <v>22</v>
      </c>
      <c r="H55" s="104" t="s">
        <v>22</v>
      </c>
      <c r="I55" s="108">
        <f>(D55*E55*G14)</f>
        <v>528.06399999999996</v>
      </c>
    </row>
    <row r="56" spans="1:25" x14ac:dyDescent="0.25">
      <c r="A56" s="104"/>
      <c r="B56" s="103" t="s">
        <v>70</v>
      </c>
      <c r="C56" s="104" t="s">
        <v>5</v>
      </c>
      <c r="D56" s="104">
        <f>2*4</f>
        <v>8</v>
      </c>
      <c r="E56" s="105">
        <v>2.36</v>
      </c>
      <c r="F56" s="104" t="s">
        <v>22</v>
      </c>
      <c r="G56" s="104" t="s">
        <v>22</v>
      </c>
      <c r="H56" s="104" t="s">
        <v>22</v>
      </c>
      <c r="I56" s="108">
        <f>(D56*E56*G14)</f>
        <v>421.024</v>
      </c>
      <c r="Y56" s="108">
        <f>I55</f>
        <v>528.06399999999996</v>
      </c>
    </row>
    <row r="57" spans="1:25" x14ac:dyDescent="0.25">
      <c r="A57" s="104"/>
      <c r="B57" s="103" t="s">
        <v>71</v>
      </c>
      <c r="C57" s="104" t="s">
        <v>5</v>
      </c>
      <c r="D57" s="104">
        <f>4*8</f>
        <v>32</v>
      </c>
      <c r="E57" s="105">
        <v>0.14000000000000001</v>
      </c>
      <c r="F57" s="104" t="s">
        <v>22</v>
      </c>
      <c r="G57" s="104" t="s">
        <v>22</v>
      </c>
      <c r="H57" s="104" t="s">
        <v>22</v>
      </c>
      <c r="I57" s="108">
        <f>D57*E57*G11</f>
        <v>49.28</v>
      </c>
      <c r="N57" s="107"/>
      <c r="O57" s="107">
        <f>I57</f>
        <v>49.28</v>
      </c>
      <c r="Y57" s="108">
        <f>I56</f>
        <v>421.024</v>
      </c>
    </row>
    <row r="58" spans="1:25" x14ac:dyDescent="0.25">
      <c r="A58" s="104"/>
      <c r="B58" s="103" t="s">
        <v>72</v>
      </c>
      <c r="C58" s="104" t="s">
        <v>5</v>
      </c>
      <c r="D58" s="104">
        <f>2*8</f>
        <v>16</v>
      </c>
      <c r="E58" s="105">
        <v>0.2</v>
      </c>
      <c r="F58" s="104" t="s">
        <v>22</v>
      </c>
      <c r="G58" s="104" t="s">
        <v>22</v>
      </c>
      <c r="H58" s="104" t="s">
        <v>22</v>
      </c>
      <c r="I58" s="108">
        <f>(D58*E58*G10)</f>
        <v>114.56</v>
      </c>
      <c r="L58" s="113">
        <f>I58</f>
        <v>114.56</v>
      </c>
      <c r="Y58" s="108">
        <f>I57</f>
        <v>49.28</v>
      </c>
    </row>
    <row r="59" spans="1:25" x14ac:dyDescent="0.25">
      <c r="A59" s="104"/>
      <c r="B59" s="103"/>
      <c r="C59" s="104"/>
      <c r="D59" s="104"/>
      <c r="E59" s="105"/>
      <c r="F59" s="104"/>
      <c r="G59" s="104"/>
      <c r="H59" s="104"/>
      <c r="I59" s="110"/>
      <c r="Y59" s="108"/>
    </row>
    <row r="60" spans="1:25" ht="15.75" x14ac:dyDescent="0.25">
      <c r="A60" s="104">
        <v>6</v>
      </c>
      <c r="B60" s="112" t="s">
        <v>73</v>
      </c>
      <c r="C60" s="104"/>
      <c r="D60" s="104"/>
      <c r="E60" s="105"/>
      <c r="F60" s="104"/>
      <c r="G60" s="104"/>
      <c r="H60" s="104"/>
      <c r="I60" s="110"/>
    </row>
    <row r="61" spans="1:25" x14ac:dyDescent="0.25">
      <c r="A61" s="104"/>
      <c r="B61" s="103" t="s">
        <v>74</v>
      </c>
      <c r="C61" s="104" t="s">
        <v>5</v>
      </c>
      <c r="D61" s="104">
        <f>4</f>
        <v>4</v>
      </c>
      <c r="E61" s="105">
        <v>0.3</v>
      </c>
      <c r="F61" s="104" t="s">
        <v>22</v>
      </c>
      <c r="G61" s="104" t="s">
        <v>22</v>
      </c>
      <c r="H61" s="104" t="s">
        <v>22</v>
      </c>
      <c r="I61" s="108">
        <f>(D61*E61*G15)</f>
        <v>23.639999999999997</v>
      </c>
      <c r="M61" s="107">
        <f>I61</f>
        <v>23.639999999999997</v>
      </c>
    </row>
    <row r="62" spans="1:25" x14ac:dyDescent="0.25">
      <c r="A62" s="104"/>
      <c r="B62" s="103" t="s">
        <v>76</v>
      </c>
      <c r="C62" s="104" t="s">
        <v>5</v>
      </c>
      <c r="D62" s="104">
        <v>4</v>
      </c>
      <c r="E62" s="105">
        <v>0.5</v>
      </c>
      <c r="F62" s="104">
        <v>0.2</v>
      </c>
      <c r="G62" s="104">
        <v>0.02</v>
      </c>
      <c r="H62" s="104"/>
      <c r="I62" s="106">
        <f>(D62*E62*F62*G62)*7850</f>
        <v>62.800000000000004</v>
      </c>
      <c r="R62" s="107">
        <f>I62</f>
        <v>62.800000000000004</v>
      </c>
      <c r="S62" s="107"/>
    </row>
    <row r="63" spans="1:25" x14ac:dyDescent="0.25">
      <c r="A63" s="104"/>
      <c r="B63" s="103" t="s">
        <v>65</v>
      </c>
      <c r="C63" s="104" t="s">
        <v>5</v>
      </c>
      <c r="D63" s="104">
        <v>4</v>
      </c>
      <c r="E63" s="105">
        <v>0.23</v>
      </c>
      <c r="F63" s="105">
        <v>0.23</v>
      </c>
      <c r="G63" s="104">
        <v>0.02</v>
      </c>
      <c r="H63" s="104"/>
      <c r="I63" s="106">
        <f>(D63*E63*F63*G63)*7850</f>
        <v>33.221200000000003</v>
      </c>
      <c r="R63" s="107">
        <f>I63</f>
        <v>33.221200000000003</v>
      </c>
    </row>
    <row r="65" spans="1:9" ht="15.75" x14ac:dyDescent="0.25">
      <c r="A65" s="114" t="s">
        <v>77</v>
      </c>
    </row>
    <row r="67" spans="1:9" ht="15.6" customHeight="1" x14ac:dyDescent="0.25">
      <c r="A67" s="115" t="s">
        <v>2</v>
      </c>
      <c r="B67" s="115" t="s">
        <v>34</v>
      </c>
      <c r="C67" s="171" t="s">
        <v>35</v>
      </c>
      <c r="D67" s="172"/>
      <c r="E67" s="173"/>
      <c r="F67" s="116"/>
      <c r="G67" s="115" t="s">
        <v>36</v>
      </c>
      <c r="H67" s="115"/>
      <c r="I67" s="117" t="s">
        <v>3</v>
      </c>
    </row>
    <row r="68" spans="1:9" ht="15.75" x14ac:dyDescent="0.25">
      <c r="A68" s="118">
        <v>1</v>
      </c>
      <c r="B68" s="118" t="s">
        <v>7</v>
      </c>
      <c r="C68" s="165">
        <f>SUM(I26:I27,I37:I41,I55:I61)</f>
        <v>6057.2400000000016</v>
      </c>
      <c r="D68" s="166"/>
      <c r="E68" s="167"/>
      <c r="F68" s="168">
        <f>SUM(I22:I25,I28,I30,I33:I34,I43:I48,I51:I53,I62:I63)</f>
        <v>22089.914757999999</v>
      </c>
      <c r="G68" s="169"/>
      <c r="H68" s="170"/>
      <c r="I68" s="21">
        <f>F68+C68</f>
        <v>28147.154758000001</v>
      </c>
    </row>
    <row r="70" spans="1:9" ht="18.75" x14ac:dyDescent="0.25">
      <c r="A70" s="93">
        <v>2</v>
      </c>
      <c r="B70" s="94" t="s">
        <v>78</v>
      </c>
      <c r="C70" s="93"/>
      <c r="D70" s="93"/>
      <c r="E70" s="93"/>
      <c r="F70" s="93"/>
      <c r="G70" s="93"/>
      <c r="H70" s="93"/>
      <c r="I70" s="93"/>
    </row>
    <row r="71" spans="1:9" ht="15.75" x14ac:dyDescent="0.25">
      <c r="A71" s="93"/>
      <c r="B71" s="97" t="s">
        <v>79</v>
      </c>
      <c r="C71" s="96"/>
      <c r="D71" s="96"/>
      <c r="E71" s="96"/>
      <c r="F71" s="96"/>
      <c r="G71" s="96"/>
      <c r="H71" s="96"/>
      <c r="I71" s="96"/>
    </row>
    <row r="72" spans="1:9" ht="15.75" x14ac:dyDescent="0.25">
      <c r="A72" s="93"/>
      <c r="B72" s="97" t="s">
        <v>80</v>
      </c>
      <c r="C72" s="96"/>
      <c r="D72" s="96"/>
      <c r="E72" s="96"/>
      <c r="F72" s="96" t="s">
        <v>8</v>
      </c>
      <c r="G72" s="96">
        <v>60</v>
      </c>
      <c r="H72" s="97" t="s">
        <v>9</v>
      </c>
      <c r="I72" s="96"/>
    </row>
    <row r="73" spans="1:9" ht="15.75" x14ac:dyDescent="0.25">
      <c r="A73" s="93"/>
      <c r="B73" s="97" t="s">
        <v>81</v>
      </c>
      <c r="C73" s="96"/>
      <c r="D73" s="96"/>
      <c r="E73" s="96"/>
      <c r="F73" s="96"/>
      <c r="G73" s="96"/>
      <c r="H73" s="96"/>
      <c r="I73" s="96"/>
    </row>
    <row r="74" spans="1:9" ht="15.75" x14ac:dyDescent="0.25">
      <c r="A74" s="93"/>
      <c r="B74" s="97" t="s">
        <v>75</v>
      </c>
      <c r="C74" s="96"/>
      <c r="D74" s="96"/>
      <c r="E74" s="96"/>
      <c r="F74" s="96" t="s">
        <v>8</v>
      </c>
      <c r="G74" s="96">
        <v>19.7</v>
      </c>
      <c r="H74" s="97" t="s">
        <v>9</v>
      </c>
      <c r="I74" s="96"/>
    </row>
    <row r="75" spans="1:9" ht="15.75" x14ac:dyDescent="0.25">
      <c r="A75" s="93"/>
      <c r="B75" s="97" t="s">
        <v>11</v>
      </c>
      <c r="C75" s="96"/>
      <c r="D75" s="96"/>
      <c r="E75" s="96"/>
      <c r="F75" s="96" t="s">
        <v>8</v>
      </c>
      <c r="G75" s="96">
        <v>7850</v>
      </c>
      <c r="H75" s="97" t="s">
        <v>10</v>
      </c>
    </row>
    <row r="76" spans="1:9" ht="15.75" x14ac:dyDescent="0.25">
      <c r="A76" s="93"/>
      <c r="B76" s="97" t="s">
        <v>82</v>
      </c>
      <c r="C76" s="96"/>
      <c r="D76" s="96"/>
      <c r="E76" s="96"/>
      <c r="F76" s="96" t="s">
        <v>8</v>
      </c>
      <c r="G76" s="96">
        <v>33.409999999999997</v>
      </c>
      <c r="H76" s="97" t="s">
        <v>13</v>
      </c>
    </row>
    <row r="77" spans="1:9" ht="15.75" x14ac:dyDescent="0.25">
      <c r="A77" s="93"/>
      <c r="B77" s="97" t="s">
        <v>83</v>
      </c>
      <c r="C77" s="96"/>
      <c r="D77" s="96"/>
      <c r="E77" s="96"/>
      <c r="F77" s="96" t="s">
        <v>8</v>
      </c>
      <c r="G77" s="96">
        <v>2.58</v>
      </c>
      <c r="H77" s="97" t="s">
        <v>13</v>
      </c>
    </row>
    <row r="78" spans="1:9" ht="15.75" x14ac:dyDescent="0.25">
      <c r="A78" s="93"/>
      <c r="B78" s="97" t="s">
        <v>84</v>
      </c>
      <c r="C78" s="96"/>
      <c r="D78" s="96"/>
      <c r="E78" s="96"/>
      <c r="F78" s="96" t="s">
        <v>8</v>
      </c>
      <c r="G78" s="96">
        <v>2.85</v>
      </c>
      <c r="H78" s="97" t="s">
        <v>13</v>
      </c>
    </row>
    <row r="79" spans="1:9" ht="15.75" x14ac:dyDescent="0.25">
      <c r="A79" s="93"/>
      <c r="B79" s="97" t="s">
        <v>68</v>
      </c>
      <c r="C79" s="96"/>
      <c r="D79" s="96"/>
      <c r="E79" s="96"/>
      <c r="F79" s="96"/>
      <c r="G79" s="96"/>
      <c r="H79" s="97"/>
    </row>
    <row r="80" spans="1:9" ht="15.75" x14ac:dyDescent="0.25">
      <c r="A80" s="93"/>
      <c r="B80" s="97" t="s">
        <v>69</v>
      </c>
      <c r="C80" s="96"/>
      <c r="D80" s="96"/>
      <c r="E80" s="96"/>
      <c r="F80" s="96" t="s">
        <v>8</v>
      </c>
      <c r="G80" s="96">
        <v>22.3</v>
      </c>
      <c r="H80" s="97" t="s">
        <v>9</v>
      </c>
    </row>
    <row r="81" spans="1:13" ht="15.75" x14ac:dyDescent="0.25">
      <c r="A81" s="93"/>
      <c r="B81" s="97" t="s">
        <v>14</v>
      </c>
      <c r="C81" s="96"/>
      <c r="D81" s="96"/>
      <c r="E81" s="96"/>
      <c r="F81" s="96" t="s">
        <v>8</v>
      </c>
      <c r="G81" s="96">
        <v>35.799999999999997</v>
      </c>
      <c r="H81" s="97" t="s">
        <v>9</v>
      </c>
    </row>
    <row r="82" spans="1:13" ht="15.75" x14ac:dyDescent="0.25">
      <c r="A82" s="93"/>
      <c r="B82" s="97" t="s">
        <v>124</v>
      </c>
      <c r="C82" s="96"/>
      <c r="D82" s="96"/>
      <c r="E82" s="96"/>
      <c r="F82" s="96"/>
      <c r="G82" s="96"/>
      <c r="H82" s="97"/>
    </row>
    <row r="83" spans="1:13" ht="15.75" x14ac:dyDescent="0.25">
      <c r="A83" s="93"/>
      <c r="B83" s="97" t="s">
        <v>40</v>
      </c>
      <c r="C83" s="96"/>
      <c r="D83" s="96"/>
      <c r="E83" s="96"/>
      <c r="F83" s="96" t="s">
        <v>8</v>
      </c>
      <c r="G83" s="96">
        <v>14.9</v>
      </c>
      <c r="H83" s="97" t="s">
        <v>9</v>
      </c>
      <c r="I83" s="96"/>
    </row>
    <row r="84" spans="1:13" ht="15.75" x14ac:dyDescent="0.25">
      <c r="A84" s="93"/>
      <c r="B84" s="97" t="s">
        <v>85</v>
      </c>
      <c r="C84" s="96"/>
      <c r="D84" s="96"/>
      <c r="E84" s="96"/>
      <c r="F84" s="96"/>
      <c r="G84" s="96"/>
      <c r="H84" s="97"/>
      <c r="I84" s="96"/>
    </row>
    <row r="85" spans="1:13" ht="15.75" x14ac:dyDescent="0.25">
      <c r="A85" s="93"/>
      <c r="B85" s="97" t="s">
        <v>86</v>
      </c>
      <c r="C85" s="96"/>
      <c r="D85" s="96"/>
      <c r="E85" s="96"/>
      <c r="F85" s="96" t="s">
        <v>8</v>
      </c>
      <c r="G85" s="96">
        <v>16.8</v>
      </c>
      <c r="H85" s="97" t="s">
        <v>9</v>
      </c>
      <c r="I85" s="96"/>
    </row>
    <row r="86" spans="1:13" ht="15.75" x14ac:dyDescent="0.25">
      <c r="A86" s="93"/>
      <c r="B86" s="97" t="s">
        <v>87</v>
      </c>
      <c r="C86" s="96"/>
      <c r="D86" s="96"/>
      <c r="E86" s="96"/>
      <c r="F86" s="96"/>
      <c r="G86" s="96"/>
      <c r="H86" s="97"/>
      <c r="I86" s="96"/>
    </row>
    <row r="87" spans="1:13" ht="15.75" x14ac:dyDescent="0.25">
      <c r="A87" s="93"/>
      <c r="B87" s="97" t="s">
        <v>25</v>
      </c>
      <c r="C87" s="96"/>
      <c r="D87" s="96"/>
      <c r="E87" s="96"/>
      <c r="F87" s="96"/>
      <c r="G87" s="96"/>
      <c r="H87" s="97"/>
      <c r="I87" s="96"/>
    </row>
    <row r="88" spans="1:13" ht="15.75" x14ac:dyDescent="0.25">
      <c r="A88" s="93"/>
      <c r="B88" s="97" t="s">
        <v>88</v>
      </c>
      <c r="C88" s="96"/>
      <c r="D88" s="96"/>
      <c r="E88" s="96"/>
      <c r="F88" s="96"/>
      <c r="G88" s="96"/>
      <c r="H88" s="97"/>
      <c r="I88" s="96"/>
    </row>
    <row r="89" spans="1:13" ht="15.75" x14ac:dyDescent="0.25">
      <c r="A89" s="93"/>
      <c r="B89" s="97" t="s">
        <v>41</v>
      </c>
      <c r="C89" s="96"/>
      <c r="D89" s="96"/>
      <c r="E89" s="96"/>
      <c r="F89" s="96" t="s">
        <v>8</v>
      </c>
      <c r="G89" s="96">
        <v>11</v>
      </c>
      <c r="H89" s="97" t="s">
        <v>9</v>
      </c>
      <c r="I89" s="96"/>
    </row>
    <row r="90" spans="1:13" ht="15.75" x14ac:dyDescent="0.25">
      <c r="A90" s="93"/>
      <c r="C90" s="96"/>
      <c r="D90" s="96"/>
      <c r="E90" s="96"/>
      <c r="F90" s="96"/>
      <c r="G90" s="96"/>
      <c r="H90" s="96"/>
      <c r="I90" s="96"/>
    </row>
    <row r="91" spans="1:13" ht="15.75" x14ac:dyDescent="0.25">
      <c r="A91" s="98" t="s">
        <v>23</v>
      </c>
    </row>
    <row r="93" spans="1:13" ht="15.75" x14ac:dyDescent="0.25">
      <c r="A93" s="99" t="s">
        <v>2</v>
      </c>
      <c r="B93" s="99" t="s">
        <v>0</v>
      </c>
      <c r="C93" s="99" t="s">
        <v>1</v>
      </c>
      <c r="D93" s="99" t="s">
        <v>21</v>
      </c>
      <c r="E93" s="99" t="s">
        <v>15</v>
      </c>
      <c r="F93" s="99" t="s">
        <v>16</v>
      </c>
      <c r="G93" s="99" t="s">
        <v>18</v>
      </c>
      <c r="H93" s="99" t="s">
        <v>17</v>
      </c>
      <c r="I93" s="99" t="s">
        <v>6</v>
      </c>
    </row>
    <row r="94" spans="1:13" ht="15.75" x14ac:dyDescent="0.25">
      <c r="A94" s="100">
        <v>1</v>
      </c>
      <c r="B94" s="101" t="s">
        <v>89</v>
      </c>
      <c r="C94" s="99"/>
      <c r="D94" s="99"/>
      <c r="E94" s="99"/>
      <c r="F94" s="99"/>
      <c r="G94" s="99"/>
      <c r="H94" s="99"/>
      <c r="I94" s="99"/>
    </row>
    <row r="95" spans="1:13" x14ac:dyDescent="0.25">
      <c r="A95" s="102"/>
      <c r="B95" s="103" t="s">
        <v>95</v>
      </c>
      <c r="C95" s="104" t="s">
        <v>5</v>
      </c>
      <c r="D95" s="104">
        <v>8</v>
      </c>
      <c r="E95" s="105">
        <v>33.409999999999997</v>
      </c>
      <c r="F95" s="104" t="s">
        <v>22</v>
      </c>
      <c r="G95" s="104" t="s">
        <v>22</v>
      </c>
      <c r="H95" s="104" t="s">
        <v>22</v>
      </c>
      <c r="I95" s="108">
        <f>(D95*E95*G72)</f>
        <v>16036.8</v>
      </c>
      <c r="K95" s="107">
        <f>I95</f>
        <v>16036.8</v>
      </c>
    </row>
    <row r="96" spans="1:13" x14ac:dyDescent="0.25">
      <c r="A96" s="104"/>
      <c r="B96" s="103" t="s">
        <v>90</v>
      </c>
      <c r="C96" s="104" t="s">
        <v>5</v>
      </c>
      <c r="D96" s="104">
        <f>2*19*2</f>
        <v>76</v>
      </c>
      <c r="E96" s="105">
        <f>G77</f>
        <v>2.58</v>
      </c>
      <c r="F96" s="104" t="s">
        <v>22</v>
      </c>
      <c r="G96" s="104" t="s">
        <v>22</v>
      </c>
      <c r="H96" s="104" t="s">
        <v>22</v>
      </c>
      <c r="I96" s="108">
        <f>D96*E96*G74</f>
        <v>3862.7760000000003</v>
      </c>
      <c r="M96" s="107">
        <f>I96</f>
        <v>3862.7760000000003</v>
      </c>
    </row>
    <row r="97" spans="1:25" x14ac:dyDescent="0.25">
      <c r="A97" s="104"/>
      <c r="B97" s="103" t="s">
        <v>91</v>
      </c>
      <c r="C97" s="104" t="s">
        <v>5</v>
      </c>
      <c r="D97" s="104">
        <f>2*18*2</f>
        <v>72</v>
      </c>
      <c r="E97" s="105">
        <f>G78</f>
        <v>2.85</v>
      </c>
      <c r="F97" s="104" t="s">
        <v>22</v>
      </c>
      <c r="G97" s="104" t="s">
        <v>22</v>
      </c>
      <c r="H97" s="104" t="s">
        <v>22</v>
      </c>
      <c r="I97" s="108">
        <f>(D97*E97*G74)</f>
        <v>4042.44</v>
      </c>
      <c r="M97" s="107">
        <f>I97</f>
        <v>4042.44</v>
      </c>
    </row>
    <row r="98" spans="1:25" x14ac:dyDescent="0.25">
      <c r="A98" s="104"/>
      <c r="B98" s="103" t="s">
        <v>92</v>
      </c>
      <c r="C98" s="104" t="s">
        <v>5</v>
      </c>
      <c r="D98" s="104">
        <f>16</f>
        <v>16</v>
      </c>
      <c r="E98" s="105">
        <v>4.5</v>
      </c>
      <c r="F98" s="104" t="s">
        <v>22</v>
      </c>
      <c r="G98" s="104" t="s">
        <v>22</v>
      </c>
      <c r="H98" s="104" t="s">
        <v>22</v>
      </c>
      <c r="I98" s="108">
        <f>(D98*E98*G80)</f>
        <v>1605.6000000000001</v>
      </c>
      <c r="Y98" s="108">
        <f>I98</f>
        <v>1605.6000000000001</v>
      </c>
    </row>
    <row r="99" spans="1:25" x14ac:dyDescent="0.25">
      <c r="A99" s="104"/>
      <c r="B99" s="103" t="s">
        <v>93</v>
      </c>
      <c r="C99" s="104" t="s">
        <v>5</v>
      </c>
      <c r="D99" s="104">
        <f>2*9</f>
        <v>18</v>
      </c>
      <c r="E99" s="105">
        <v>3.41</v>
      </c>
      <c r="F99" s="104" t="s">
        <v>22</v>
      </c>
      <c r="G99" s="104" t="s">
        <v>22</v>
      </c>
      <c r="H99" s="104" t="s">
        <v>22</v>
      </c>
      <c r="I99" s="108">
        <f>(D99*E99*G80)</f>
        <v>1368.7740000000001</v>
      </c>
      <c r="Y99" s="108">
        <f>I99</f>
        <v>1368.7740000000001</v>
      </c>
    </row>
    <row r="100" spans="1:25" x14ac:dyDescent="0.25">
      <c r="A100" s="104"/>
      <c r="B100" s="103" t="s">
        <v>94</v>
      </c>
      <c r="C100" s="104" t="s">
        <v>5</v>
      </c>
      <c r="D100" s="104">
        <f>2*8*2</f>
        <v>32</v>
      </c>
      <c r="E100" s="105">
        <v>2.65</v>
      </c>
      <c r="F100" s="104" t="s">
        <v>22</v>
      </c>
      <c r="G100" s="104" t="s">
        <v>22</v>
      </c>
      <c r="H100" s="104" t="s">
        <v>22</v>
      </c>
      <c r="I100" s="108">
        <f>(D100*E100*G89)</f>
        <v>932.8</v>
      </c>
      <c r="O100" s="107">
        <f>I100</f>
        <v>932.8</v>
      </c>
    </row>
    <row r="101" spans="1:25" ht="15.75" x14ac:dyDescent="0.25">
      <c r="A101" s="104"/>
      <c r="B101" s="111" t="s">
        <v>27</v>
      </c>
      <c r="C101" s="104"/>
      <c r="D101" s="104"/>
      <c r="E101" s="105"/>
      <c r="F101" s="104"/>
      <c r="G101" s="104"/>
      <c r="H101" s="104"/>
      <c r="I101" s="110"/>
    </row>
    <row r="102" spans="1:25" x14ac:dyDescent="0.25">
      <c r="A102" s="104"/>
      <c r="B102" s="103" t="s">
        <v>28</v>
      </c>
      <c r="C102" s="104" t="s">
        <v>5</v>
      </c>
      <c r="D102" s="104">
        <f>2*2</f>
        <v>4</v>
      </c>
      <c r="E102" s="105">
        <v>0.38300000000000001</v>
      </c>
      <c r="F102" s="104">
        <v>0.60799999999999998</v>
      </c>
      <c r="G102" s="104">
        <v>0.01</v>
      </c>
      <c r="H102" s="104" t="s">
        <v>22</v>
      </c>
      <c r="I102" s="106">
        <f t="shared" ref="I102:I107" si="2">(D102*E102*F102*G102)*7850</f>
        <v>73.119295999999991</v>
      </c>
      <c r="S102" s="106">
        <f t="shared" ref="S102:S111" si="3">I102</f>
        <v>73.119295999999991</v>
      </c>
    </row>
    <row r="103" spans="1:25" x14ac:dyDescent="0.25">
      <c r="A103" s="104"/>
      <c r="B103" s="103" t="s">
        <v>29</v>
      </c>
      <c r="C103" s="104" t="s">
        <v>5</v>
      </c>
      <c r="D103" s="104">
        <f>2*2</f>
        <v>4</v>
      </c>
      <c r="E103" s="105">
        <v>0.34</v>
      </c>
      <c r="F103" s="104">
        <v>0.44</v>
      </c>
      <c r="G103" s="104">
        <v>0.01</v>
      </c>
      <c r="H103" s="104" t="s">
        <v>22</v>
      </c>
      <c r="I103" s="106">
        <f t="shared" si="2"/>
        <v>46.974400000000003</v>
      </c>
      <c r="S103" s="106">
        <f t="shared" si="3"/>
        <v>46.974400000000003</v>
      </c>
    </row>
    <row r="104" spans="1:25" x14ac:dyDescent="0.25">
      <c r="A104" s="104"/>
      <c r="B104" s="103" t="s">
        <v>30</v>
      </c>
      <c r="C104" s="104" t="s">
        <v>5</v>
      </c>
      <c r="D104" s="104">
        <f>2*16</f>
        <v>32</v>
      </c>
      <c r="E104" s="105">
        <v>0.54800000000000004</v>
      </c>
      <c r="F104" s="104">
        <v>0.47199999999999998</v>
      </c>
      <c r="G104" s="104">
        <v>0.01</v>
      </c>
      <c r="H104" s="104" t="s">
        <v>22</v>
      </c>
      <c r="I104" s="106">
        <f t="shared" si="2"/>
        <v>649.74387200000001</v>
      </c>
      <c r="S104" s="106">
        <f t="shared" si="3"/>
        <v>649.74387200000001</v>
      </c>
    </row>
    <row r="105" spans="1:25" x14ac:dyDescent="0.25">
      <c r="A105" s="104"/>
      <c r="B105" s="103" t="s">
        <v>31</v>
      </c>
      <c r="C105" s="104" t="s">
        <v>5</v>
      </c>
      <c r="D105" s="104">
        <v>2</v>
      </c>
      <c r="E105" s="105">
        <v>0.4</v>
      </c>
      <c r="F105" s="104">
        <v>0.39</v>
      </c>
      <c r="G105" s="104">
        <v>0.01</v>
      </c>
      <c r="H105" s="104" t="s">
        <v>22</v>
      </c>
      <c r="I105" s="106">
        <f t="shared" si="2"/>
        <v>24.492000000000008</v>
      </c>
      <c r="S105" s="106">
        <f t="shared" si="3"/>
        <v>24.492000000000008</v>
      </c>
    </row>
    <row r="106" spans="1:25" x14ac:dyDescent="0.25">
      <c r="A106" s="104"/>
      <c r="B106" s="103" t="s">
        <v>32</v>
      </c>
      <c r="C106" s="104" t="s">
        <v>5</v>
      </c>
      <c r="D106" s="104">
        <v>2</v>
      </c>
      <c r="E106" s="105">
        <v>0.63700000000000001</v>
      </c>
      <c r="F106" s="104">
        <v>0.439</v>
      </c>
      <c r="G106" s="104">
        <v>0.01</v>
      </c>
      <c r="H106" s="104" t="s">
        <v>22</v>
      </c>
      <c r="I106" s="106">
        <f t="shared" si="2"/>
        <v>43.903951000000006</v>
      </c>
      <c r="S106" s="106">
        <f t="shared" si="3"/>
        <v>43.903951000000006</v>
      </c>
    </row>
    <row r="107" spans="1:25" x14ac:dyDescent="0.25">
      <c r="A107" s="104"/>
      <c r="B107" s="103" t="s">
        <v>33</v>
      </c>
      <c r="C107" s="104" t="s">
        <v>5</v>
      </c>
      <c r="D107" s="104">
        <f>2*16</f>
        <v>32</v>
      </c>
      <c r="E107" s="105">
        <v>0.42899999999999999</v>
      </c>
      <c r="F107" s="104">
        <v>0.46800000000000003</v>
      </c>
      <c r="G107" s="104">
        <v>0.01</v>
      </c>
      <c r="H107" s="104" t="s">
        <v>22</v>
      </c>
      <c r="I107" s="106">
        <f t="shared" si="2"/>
        <v>504.33926400000001</v>
      </c>
      <c r="S107" s="106">
        <f t="shared" si="3"/>
        <v>504.33926400000001</v>
      </c>
    </row>
    <row r="108" spans="1:25" x14ac:dyDescent="0.25">
      <c r="A108" s="104"/>
      <c r="B108" s="103" t="s">
        <v>96</v>
      </c>
      <c r="C108" s="104" t="s">
        <v>5</v>
      </c>
      <c r="D108" s="104">
        <f>2*8</f>
        <v>16</v>
      </c>
      <c r="E108" s="105">
        <v>0.185</v>
      </c>
      <c r="F108" s="104">
        <v>0.15</v>
      </c>
      <c r="G108" s="104">
        <v>0.01</v>
      </c>
      <c r="H108" s="104" t="s">
        <v>22</v>
      </c>
      <c r="I108" s="106">
        <f>(D108*E108*F108*G108)*7850</f>
        <v>34.854000000000006</v>
      </c>
      <c r="S108" s="106">
        <f t="shared" si="3"/>
        <v>34.854000000000006</v>
      </c>
    </row>
    <row r="109" spans="1:25" x14ac:dyDescent="0.25">
      <c r="A109" s="104"/>
      <c r="B109" s="103" t="s">
        <v>97</v>
      </c>
      <c r="C109" s="104" t="s">
        <v>5</v>
      </c>
      <c r="D109" s="104">
        <f>2*8</f>
        <v>16</v>
      </c>
      <c r="E109" s="105">
        <v>0.15</v>
      </c>
      <c r="F109" s="104">
        <v>0.15</v>
      </c>
      <c r="G109" s="104">
        <v>0.01</v>
      </c>
      <c r="H109" s="104" t="s">
        <v>22</v>
      </c>
      <c r="I109" s="106">
        <f>(D109*E109*F109*G109)*7850</f>
        <v>28.259999999999998</v>
      </c>
      <c r="S109" s="106">
        <f t="shared" si="3"/>
        <v>28.259999999999998</v>
      </c>
    </row>
    <row r="110" spans="1:25" x14ac:dyDescent="0.25">
      <c r="A110" s="104"/>
      <c r="B110" s="103" t="s">
        <v>98</v>
      </c>
      <c r="C110" s="104" t="s">
        <v>5</v>
      </c>
      <c r="D110" s="104">
        <f>2*8</f>
        <v>16</v>
      </c>
      <c r="E110" s="105">
        <v>0.15</v>
      </c>
      <c r="F110" s="104">
        <v>0.218</v>
      </c>
      <c r="G110" s="104">
        <v>0.01</v>
      </c>
      <c r="H110" s="104" t="s">
        <v>22</v>
      </c>
      <c r="I110" s="106">
        <f>(D110*E110*F110*G110)*7850</f>
        <v>41.071199999999997</v>
      </c>
      <c r="S110" s="106">
        <f t="shared" si="3"/>
        <v>41.071199999999997</v>
      </c>
    </row>
    <row r="111" spans="1:25" x14ac:dyDescent="0.25">
      <c r="A111" s="104"/>
      <c r="B111" s="103"/>
      <c r="C111" s="104"/>
      <c r="D111" s="104"/>
      <c r="E111" s="105"/>
      <c r="F111" s="104"/>
      <c r="G111" s="104"/>
      <c r="H111" s="104"/>
      <c r="I111" s="110"/>
      <c r="S111" s="119">
        <f t="shared" si="3"/>
        <v>0</v>
      </c>
    </row>
    <row r="112" spans="1:25" ht="15.75" x14ac:dyDescent="0.25">
      <c r="A112" s="104">
        <v>2</v>
      </c>
      <c r="B112" s="112" t="s">
        <v>99</v>
      </c>
      <c r="C112" s="104"/>
      <c r="D112" s="104"/>
      <c r="E112" s="105"/>
      <c r="F112" s="104"/>
      <c r="G112" s="104"/>
      <c r="H112" s="104"/>
      <c r="I112" s="110"/>
    </row>
    <row r="113" spans="1:19" x14ac:dyDescent="0.25">
      <c r="A113" s="104"/>
      <c r="B113" s="103" t="s">
        <v>100</v>
      </c>
      <c r="C113" s="104" t="s">
        <v>5</v>
      </c>
      <c r="D113" s="104">
        <f>2*7</f>
        <v>14</v>
      </c>
      <c r="E113" s="105">
        <v>2.9670000000000001</v>
      </c>
      <c r="F113" s="104" t="s">
        <v>22</v>
      </c>
      <c r="G113" s="104" t="s">
        <v>22</v>
      </c>
      <c r="H113" s="104" t="s">
        <v>22</v>
      </c>
      <c r="I113" s="108">
        <f>(D113*E113*G83)</f>
        <v>618.91620000000012</v>
      </c>
      <c r="N113" s="107">
        <f>I113</f>
        <v>618.91620000000012</v>
      </c>
    </row>
    <row r="114" spans="1:19" x14ac:dyDescent="0.25">
      <c r="A114" s="104"/>
      <c r="B114" s="103" t="s">
        <v>101</v>
      </c>
      <c r="C114" s="104" t="s">
        <v>5</v>
      </c>
      <c r="D114" s="104">
        <f>2*7*2</f>
        <v>28</v>
      </c>
      <c r="E114" s="105">
        <v>1.377</v>
      </c>
      <c r="F114" s="104" t="s">
        <v>22</v>
      </c>
      <c r="G114" s="104" t="s">
        <v>22</v>
      </c>
      <c r="H114" s="104" t="s">
        <v>22</v>
      </c>
      <c r="I114" s="108">
        <f>(D114*E114*G83)</f>
        <v>574.48439999999994</v>
      </c>
      <c r="N114" s="107">
        <f>I114</f>
        <v>574.48439999999994</v>
      </c>
    </row>
    <row r="115" spans="1:19" x14ac:dyDescent="0.25">
      <c r="A115" s="104"/>
      <c r="B115" s="103" t="s">
        <v>102</v>
      </c>
      <c r="C115" s="104" t="s">
        <v>5</v>
      </c>
      <c r="D115" s="104">
        <f>2</f>
        <v>2</v>
      </c>
      <c r="E115" s="105">
        <v>2.7669999999999999</v>
      </c>
      <c r="F115" s="104" t="s">
        <v>22</v>
      </c>
      <c r="G115" s="104" t="s">
        <v>22</v>
      </c>
      <c r="H115" s="104" t="s">
        <v>22</v>
      </c>
      <c r="I115" s="108">
        <f>(D115*E115*G83)</f>
        <v>82.456599999999995</v>
      </c>
      <c r="N115" s="107">
        <f>I115</f>
        <v>82.456599999999995</v>
      </c>
      <c r="Q115" s="107"/>
    </row>
    <row r="116" spans="1:19" x14ac:dyDescent="0.25">
      <c r="A116" s="104"/>
      <c r="B116" s="103" t="s">
        <v>103</v>
      </c>
      <c r="C116" s="104" t="s">
        <v>5</v>
      </c>
      <c r="D116" s="104">
        <f>2*2</f>
        <v>4</v>
      </c>
      <c r="E116" s="105">
        <v>1.2749999999999999</v>
      </c>
      <c r="F116" s="104" t="s">
        <v>22</v>
      </c>
      <c r="G116" s="104" t="s">
        <v>22</v>
      </c>
      <c r="H116" s="104" t="s">
        <v>22</v>
      </c>
      <c r="I116" s="108">
        <f>(D116*E116*G83)</f>
        <v>75.989999999999995</v>
      </c>
      <c r="N116" s="107">
        <f>I116</f>
        <v>75.989999999999995</v>
      </c>
    </row>
    <row r="117" spans="1:19" ht="15.75" x14ac:dyDescent="0.25">
      <c r="A117" s="104"/>
      <c r="B117" s="111" t="s">
        <v>104</v>
      </c>
      <c r="C117" s="104"/>
      <c r="D117" s="104"/>
      <c r="E117" s="105"/>
      <c r="F117" s="104"/>
      <c r="G117" s="104"/>
      <c r="H117" s="104"/>
      <c r="I117" s="110"/>
    </row>
    <row r="118" spans="1:19" x14ac:dyDescent="0.25">
      <c r="A118" s="104"/>
      <c r="B118" s="103" t="s">
        <v>28</v>
      </c>
      <c r="C118" s="104" t="s">
        <v>5</v>
      </c>
      <c r="D118" s="104">
        <f>2*2</f>
        <v>4</v>
      </c>
      <c r="E118" s="105">
        <v>0.60099999999999998</v>
      </c>
      <c r="F118" s="104">
        <v>0.157</v>
      </c>
      <c r="G118" s="104">
        <v>0.01</v>
      </c>
      <c r="H118" s="104" t="s">
        <v>22</v>
      </c>
      <c r="I118" s="106">
        <f>(D118*E118*F118*G118)*7850</f>
        <v>29.628098000000001</v>
      </c>
      <c r="S118" s="107">
        <f>I118</f>
        <v>29.628098000000001</v>
      </c>
    </row>
    <row r="119" spans="1:19" x14ac:dyDescent="0.25">
      <c r="A119" s="104"/>
      <c r="B119" s="103" t="s">
        <v>29</v>
      </c>
      <c r="C119" s="104" t="s">
        <v>5</v>
      </c>
      <c r="D119" s="104">
        <f>2*17</f>
        <v>34</v>
      </c>
      <c r="E119" s="105">
        <v>0.60199999999999998</v>
      </c>
      <c r="F119" s="104">
        <v>0.52600000000000002</v>
      </c>
      <c r="G119" s="104">
        <v>0.01</v>
      </c>
      <c r="H119" s="104" t="s">
        <v>22</v>
      </c>
      <c r="I119" s="106">
        <f>(D119*E119*F119*G119)*7850</f>
        <v>845.1441880000001</v>
      </c>
      <c r="S119" s="107">
        <f>I119</f>
        <v>845.1441880000001</v>
      </c>
    </row>
    <row r="120" spans="1:19" x14ac:dyDescent="0.25">
      <c r="A120" s="104"/>
      <c r="B120" s="103" t="s">
        <v>30</v>
      </c>
      <c r="C120" s="104" t="s">
        <v>5</v>
      </c>
      <c r="D120" s="104">
        <f>2*9</f>
        <v>18</v>
      </c>
      <c r="E120" s="105">
        <v>0.48399999999999999</v>
      </c>
      <c r="F120" s="104">
        <v>0.2</v>
      </c>
      <c r="G120" s="104">
        <v>0.01</v>
      </c>
      <c r="H120" s="104" t="s">
        <v>22</v>
      </c>
      <c r="I120" s="106">
        <f>(D120*E120*F120*G120)*7850</f>
        <v>136.77839999999998</v>
      </c>
      <c r="S120" s="107">
        <f>I120</f>
        <v>136.77839999999998</v>
      </c>
    </row>
    <row r="121" spans="1:19" x14ac:dyDescent="0.25">
      <c r="A121" s="104"/>
      <c r="B121" s="103"/>
      <c r="C121" s="104"/>
      <c r="D121" s="104"/>
      <c r="E121" s="105"/>
      <c r="F121" s="104"/>
      <c r="G121" s="104"/>
      <c r="H121" s="104"/>
      <c r="I121" s="107"/>
    </row>
    <row r="122" spans="1:19" ht="15.75" x14ac:dyDescent="0.25">
      <c r="A122" s="104">
        <v>3</v>
      </c>
      <c r="B122" s="112" t="s">
        <v>105</v>
      </c>
      <c r="C122" s="104"/>
      <c r="D122" s="104"/>
      <c r="E122" s="105"/>
      <c r="F122" s="104"/>
      <c r="G122" s="104"/>
      <c r="H122" s="104"/>
      <c r="I122" s="110"/>
    </row>
    <row r="123" spans="1:19" x14ac:dyDescent="0.25">
      <c r="A123" s="104"/>
      <c r="B123" s="103" t="s">
        <v>100</v>
      </c>
      <c r="C123" s="104" t="s">
        <v>5</v>
      </c>
      <c r="D123" s="104">
        <f>2*7</f>
        <v>14</v>
      </c>
      <c r="E123" s="105">
        <v>2.9670000000000001</v>
      </c>
      <c r="F123" s="104" t="s">
        <v>22</v>
      </c>
      <c r="G123" s="104" t="s">
        <v>22</v>
      </c>
      <c r="H123" s="104" t="s">
        <v>22</v>
      </c>
      <c r="I123" s="108">
        <f>(D123*E123*G83)</f>
        <v>618.91620000000012</v>
      </c>
      <c r="N123" s="107">
        <f>I123</f>
        <v>618.91620000000012</v>
      </c>
    </row>
    <row r="124" spans="1:19" x14ac:dyDescent="0.25">
      <c r="A124" s="104"/>
      <c r="B124" s="103" t="s">
        <v>101</v>
      </c>
      <c r="C124" s="104" t="s">
        <v>5</v>
      </c>
      <c r="D124" s="104">
        <f>2*7*2</f>
        <v>28</v>
      </c>
      <c r="E124" s="105">
        <v>1.377</v>
      </c>
      <c r="F124" s="104" t="s">
        <v>22</v>
      </c>
      <c r="G124" s="104" t="s">
        <v>22</v>
      </c>
      <c r="H124" s="104" t="s">
        <v>22</v>
      </c>
      <c r="I124" s="108">
        <f>(D124*E124*G83)</f>
        <v>574.48439999999994</v>
      </c>
      <c r="N124" s="107">
        <f>I124</f>
        <v>574.48439999999994</v>
      </c>
    </row>
    <row r="125" spans="1:19" x14ac:dyDescent="0.25">
      <c r="A125" s="104"/>
      <c r="B125" s="103" t="s">
        <v>102</v>
      </c>
      <c r="C125" s="104" t="s">
        <v>5</v>
      </c>
      <c r="D125" s="104">
        <f>2</f>
        <v>2</v>
      </c>
      <c r="E125" s="105">
        <v>2.7669999999999999</v>
      </c>
      <c r="F125" s="104" t="s">
        <v>22</v>
      </c>
      <c r="G125" s="104" t="s">
        <v>22</v>
      </c>
      <c r="H125" s="104" t="s">
        <v>22</v>
      </c>
      <c r="I125" s="108">
        <f>(D125*E125*G83)</f>
        <v>82.456599999999995</v>
      </c>
      <c r="N125" s="107">
        <f>I125</f>
        <v>82.456599999999995</v>
      </c>
    </row>
    <row r="126" spans="1:19" x14ac:dyDescent="0.25">
      <c r="A126" s="104"/>
      <c r="B126" s="103" t="s">
        <v>103</v>
      </c>
      <c r="C126" s="104" t="s">
        <v>5</v>
      </c>
      <c r="D126" s="104">
        <f>2*2</f>
        <v>4</v>
      </c>
      <c r="E126" s="105">
        <v>1.2749999999999999</v>
      </c>
      <c r="F126" s="104" t="s">
        <v>22</v>
      </c>
      <c r="G126" s="104" t="s">
        <v>22</v>
      </c>
      <c r="H126" s="104" t="s">
        <v>22</v>
      </c>
      <c r="I126" s="108">
        <f>(D126*E126*G83)</f>
        <v>75.989999999999995</v>
      </c>
      <c r="N126" s="107">
        <f>I126</f>
        <v>75.989999999999995</v>
      </c>
    </row>
    <row r="127" spans="1:19" ht="15.75" x14ac:dyDescent="0.25">
      <c r="A127" s="104"/>
      <c r="B127" s="111" t="s">
        <v>104</v>
      </c>
      <c r="C127" s="104"/>
      <c r="D127" s="104"/>
      <c r="E127" s="105"/>
      <c r="F127" s="104"/>
      <c r="G127" s="104"/>
      <c r="H127" s="104"/>
      <c r="I127" s="110"/>
    </row>
    <row r="128" spans="1:19" x14ac:dyDescent="0.25">
      <c r="A128" s="104"/>
      <c r="B128" s="103" t="s">
        <v>28</v>
      </c>
      <c r="C128" s="104" t="s">
        <v>5</v>
      </c>
      <c r="D128" s="104">
        <f>2*2</f>
        <v>4</v>
      </c>
      <c r="E128" s="105">
        <v>0.60099999999999998</v>
      </c>
      <c r="F128" s="104">
        <v>0.157</v>
      </c>
      <c r="G128" s="104">
        <v>0.01</v>
      </c>
      <c r="H128" s="104" t="s">
        <v>22</v>
      </c>
      <c r="I128" s="106">
        <f>(D128*E128*F128*G128)*7850</f>
        <v>29.628098000000001</v>
      </c>
      <c r="S128" s="107">
        <f>I128</f>
        <v>29.628098000000001</v>
      </c>
    </row>
    <row r="129" spans="1:26" x14ac:dyDescent="0.25">
      <c r="A129" s="104"/>
      <c r="B129" s="103" t="s">
        <v>29</v>
      </c>
      <c r="C129" s="104" t="s">
        <v>5</v>
      </c>
      <c r="D129" s="104">
        <f>2*17</f>
        <v>34</v>
      </c>
      <c r="E129" s="105">
        <v>0.60199999999999998</v>
      </c>
      <c r="F129" s="104">
        <v>0.52600000000000002</v>
      </c>
      <c r="G129" s="104">
        <v>0.01</v>
      </c>
      <c r="H129" s="104" t="s">
        <v>22</v>
      </c>
      <c r="I129" s="106">
        <f>(D129*E129*F129*G129)*7850</f>
        <v>845.1441880000001</v>
      </c>
      <c r="S129" s="107">
        <f>I129</f>
        <v>845.1441880000001</v>
      </c>
    </row>
    <row r="130" spans="1:26" x14ac:dyDescent="0.25">
      <c r="A130" s="104"/>
      <c r="B130" s="103" t="s">
        <v>30</v>
      </c>
      <c r="C130" s="104" t="s">
        <v>5</v>
      </c>
      <c r="D130" s="104">
        <f>2*9</f>
        <v>18</v>
      </c>
      <c r="E130" s="105">
        <v>0.48399999999999999</v>
      </c>
      <c r="F130" s="104">
        <v>0.2</v>
      </c>
      <c r="G130" s="104">
        <v>0.01</v>
      </c>
      <c r="H130" s="104" t="s">
        <v>22</v>
      </c>
      <c r="I130" s="106">
        <f>(D130*E130*F130*G130)*7850</f>
        <v>136.77839999999998</v>
      </c>
      <c r="S130" s="107">
        <f>I130</f>
        <v>136.77839999999998</v>
      </c>
    </row>
    <row r="131" spans="1:26" x14ac:dyDescent="0.25">
      <c r="A131" s="104"/>
      <c r="B131" s="103"/>
      <c r="C131" s="104"/>
      <c r="D131" s="104"/>
      <c r="E131" s="105"/>
      <c r="F131" s="104"/>
      <c r="G131" s="104"/>
      <c r="H131" s="104"/>
    </row>
    <row r="132" spans="1:26" ht="15.75" x14ac:dyDescent="0.25">
      <c r="A132" s="104">
        <v>4</v>
      </c>
      <c r="B132" s="112" t="s">
        <v>107</v>
      </c>
      <c r="C132" s="104"/>
      <c r="D132" s="104"/>
      <c r="E132" s="105"/>
      <c r="F132" s="104"/>
      <c r="G132" s="104"/>
      <c r="H132" s="104"/>
      <c r="I132" s="110"/>
    </row>
    <row r="133" spans="1:26" x14ac:dyDescent="0.25">
      <c r="A133" s="104"/>
      <c r="B133" s="103" t="s">
        <v>106</v>
      </c>
      <c r="C133" s="104" t="s">
        <v>5</v>
      </c>
      <c r="D133" s="104">
        <v>9</v>
      </c>
      <c r="E133" s="105">
        <v>3.41</v>
      </c>
      <c r="F133" s="104" t="s">
        <v>22</v>
      </c>
      <c r="G133" s="104" t="s">
        <v>22</v>
      </c>
      <c r="H133" s="104" t="s">
        <v>22</v>
      </c>
      <c r="I133" s="108">
        <f>(D133*E133*G89)</f>
        <v>337.59000000000003</v>
      </c>
      <c r="O133" s="107">
        <f>I133</f>
        <v>337.59000000000003</v>
      </c>
    </row>
    <row r="134" spans="1:26" x14ac:dyDescent="0.25">
      <c r="A134" s="104"/>
      <c r="B134" s="103"/>
      <c r="C134" s="104"/>
      <c r="D134" s="104"/>
      <c r="E134" s="105"/>
      <c r="F134" s="104"/>
      <c r="G134" s="104"/>
      <c r="H134" s="104"/>
      <c r="I134" s="110"/>
    </row>
    <row r="135" spans="1:26" ht="15.75" x14ac:dyDescent="0.25">
      <c r="A135" s="104">
        <v>5</v>
      </c>
      <c r="B135" s="112" t="s">
        <v>108</v>
      </c>
      <c r="C135" s="104"/>
      <c r="D135" s="104"/>
      <c r="E135" s="105"/>
      <c r="F135" s="104"/>
      <c r="G135" s="104"/>
      <c r="H135" s="104"/>
      <c r="I135" s="110"/>
    </row>
    <row r="136" spans="1:26" x14ac:dyDescent="0.25">
      <c r="A136" s="104"/>
      <c r="B136" s="103" t="s">
        <v>109</v>
      </c>
      <c r="C136" s="104" t="s">
        <v>5</v>
      </c>
      <c r="D136" s="104">
        <v>3</v>
      </c>
      <c r="E136" s="105">
        <f>34.01+6.6</f>
        <v>40.61</v>
      </c>
      <c r="F136" s="104" t="s">
        <v>22</v>
      </c>
      <c r="G136" s="104" t="s">
        <v>22</v>
      </c>
      <c r="H136" s="104" t="s">
        <v>22</v>
      </c>
      <c r="I136" s="108">
        <f>(D136*E136*G85)</f>
        <v>2046.7440000000001</v>
      </c>
      <c r="Z136" s="107">
        <f>I136</f>
        <v>2046.7440000000001</v>
      </c>
    </row>
    <row r="137" spans="1:26" x14ac:dyDescent="0.25">
      <c r="A137" s="104"/>
      <c r="B137" s="103"/>
      <c r="C137" s="104"/>
      <c r="D137" s="104"/>
      <c r="E137" s="105"/>
      <c r="F137" s="104"/>
      <c r="G137" s="104"/>
      <c r="H137" s="104"/>
    </row>
    <row r="138" spans="1:26" ht="15.75" x14ac:dyDescent="0.25">
      <c r="A138" s="104">
        <v>6</v>
      </c>
      <c r="B138" s="112" t="s">
        <v>110</v>
      </c>
      <c r="C138" s="104"/>
      <c r="D138" s="104"/>
      <c r="E138" s="105"/>
      <c r="F138" s="104"/>
      <c r="G138" s="104"/>
      <c r="H138" s="104"/>
      <c r="I138" s="110"/>
    </row>
    <row r="139" spans="1:26" x14ac:dyDescent="0.25">
      <c r="A139" s="104"/>
      <c r="B139" s="103" t="s">
        <v>111</v>
      </c>
      <c r="C139" s="104" t="s">
        <v>5</v>
      </c>
      <c r="D139" s="104">
        <v>1</v>
      </c>
      <c r="E139" s="105">
        <f>34.01+6.6</f>
        <v>40.61</v>
      </c>
      <c r="F139" s="104">
        <v>2.58</v>
      </c>
      <c r="G139" s="104">
        <v>5.0000000000000001E-3</v>
      </c>
      <c r="H139" s="104" t="s">
        <v>22</v>
      </c>
      <c r="I139" s="106">
        <f>(D139*E139*F139*G139*7850)</f>
        <v>4112.37165</v>
      </c>
      <c r="T139" s="107">
        <f>I139</f>
        <v>4112.37165</v>
      </c>
    </row>
    <row r="140" spans="1:26" x14ac:dyDescent="0.25">
      <c r="A140" s="104"/>
      <c r="B140" s="103"/>
      <c r="C140" s="104"/>
      <c r="D140" s="104"/>
      <c r="E140" s="105"/>
      <c r="F140" s="104"/>
      <c r="G140" s="104"/>
      <c r="H140" s="104"/>
      <c r="I140" s="110"/>
    </row>
    <row r="141" spans="1:26" ht="15.75" x14ac:dyDescent="0.25">
      <c r="A141" s="104">
        <v>7</v>
      </c>
      <c r="B141" s="112" t="s">
        <v>112</v>
      </c>
      <c r="C141" s="104"/>
      <c r="D141" s="104"/>
      <c r="E141" s="105"/>
      <c r="F141" s="104"/>
      <c r="G141" s="104"/>
      <c r="H141" s="104"/>
      <c r="I141" s="110"/>
    </row>
    <row r="142" spans="1:26" x14ac:dyDescent="0.25">
      <c r="A142" s="104"/>
      <c r="B142" s="103" t="s">
        <v>111</v>
      </c>
      <c r="C142" s="104" t="s">
        <v>5</v>
      </c>
      <c r="D142" s="104">
        <v>2</v>
      </c>
      <c r="E142" s="105">
        <f>34.01+6.6</f>
        <v>40.61</v>
      </c>
      <c r="F142" s="104">
        <v>0.25</v>
      </c>
      <c r="G142" s="104">
        <v>0.01</v>
      </c>
      <c r="H142" s="104" t="s">
        <v>22</v>
      </c>
      <c r="I142" s="106">
        <f>(D142*E142*F142*G142*7850)</f>
        <v>1593.9425000000001</v>
      </c>
      <c r="S142" s="107">
        <f>I142</f>
        <v>1593.9425000000001</v>
      </c>
    </row>
    <row r="144" spans="1:26" ht="15.75" x14ac:dyDescent="0.25">
      <c r="A144" s="114" t="s">
        <v>114</v>
      </c>
    </row>
    <row r="146" spans="1:9" ht="15.75" x14ac:dyDescent="0.25">
      <c r="A146" s="115" t="s">
        <v>2</v>
      </c>
      <c r="B146" s="115" t="s">
        <v>34</v>
      </c>
      <c r="C146" s="171" t="s">
        <v>35</v>
      </c>
      <c r="D146" s="172"/>
      <c r="E146" s="173"/>
      <c r="F146" s="116"/>
      <c r="G146" s="115" t="s">
        <v>36</v>
      </c>
      <c r="H146" s="115"/>
      <c r="I146" s="117" t="s">
        <v>3</v>
      </c>
    </row>
    <row r="147" spans="1:9" ht="15.75" x14ac:dyDescent="0.25">
      <c r="A147" s="118">
        <v>2</v>
      </c>
      <c r="B147" s="118" t="s">
        <v>113</v>
      </c>
      <c r="C147" s="165">
        <f>SUM(I95:I100,I113:I116,I123:I126,I133,I136)</f>
        <v>32937.218400000005</v>
      </c>
      <c r="D147" s="166"/>
      <c r="E147" s="167"/>
      <c r="F147" s="168">
        <f>SUM(I102:I110,I118:I120,I128:I130,I139:I142)</f>
        <v>9176.1735050000025</v>
      </c>
      <c r="G147" s="169"/>
      <c r="H147" s="170"/>
      <c r="I147" s="21">
        <f>F147+C147</f>
        <v>42113.391905000011</v>
      </c>
    </row>
    <row r="148" spans="1:9" x14ac:dyDescent="0.25">
      <c r="I148" s="107"/>
    </row>
    <row r="149" spans="1:9" ht="18.75" x14ac:dyDescent="0.25">
      <c r="A149" s="93">
        <v>3</v>
      </c>
      <c r="B149" s="94" t="s">
        <v>115</v>
      </c>
      <c r="C149" s="93"/>
      <c r="D149" s="93"/>
      <c r="E149" s="93"/>
      <c r="F149" s="93"/>
      <c r="G149" s="93"/>
      <c r="H149" s="93"/>
      <c r="I149" s="93"/>
    </row>
    <row r="150" spans="1:9" ht="15.75" x14ac:dyDescent="0.25">
      <c r="A150" s="93"/>
      <c r="B150" s="97" t="s">
        <v>116</v>
      </c>
      <c r="C150" s="96"/>
      <c r="D150" s="96"/>
      <c r="E150" s="96"/>
      <c r="F150" s="96"/>
      <c r="G150" s="96"/>
      <c r="H150" s="96"/>
      <c r="I150" s="96"/>
    </row>
    <row r="151" spans="1:9" ht="15.75" x14ac:dyDescent="0.25">
      <c r="A151" s="93"/>
      <c r="B151" s="97" t="s">
        <v>117</v>
      </c>
      <c r="C151" s="96"/>
      <c r="D151" s="96"/>
      <c r="E151" s="96"/>
      <c r="F151" s="96" t="s">
        <v>8</v>
      </c>
      <c r="G151" s="96">
        <v>52.4</v>
      </c>
      <c r="H151" s="97" t="s">
        <v>9</v>
      </c>
      <c r="I151" s="96"/>
    </row>
    <row r="152" spans="1:9" ht="15.75" x14ac:dyDescent="0.25">
      <c r="A152" s="93"/>
      <c r="B152" s="97" t="s">
        <v>118</v>
      </c>
      <c r="C152" s="96"/>
      <c r="D152" s="96"/>
      <c r="E152" s="96"/>
      <c r="F152" s="96"/>
      <c r="G152" s="96"/>
      <c r="H152" s="96"/>
      <c r="I152" s="96"/>
    </row>
    <row r="153" spans="1:9" ht="15.75" x14ac:dyDescent="0.25">
      <c r="A153" s="93"/>
      <c r="B153" s="97" t="s">
        <v>119</v>
      </c>
      <c r="C153" s="96"/>
      <c r="D153" s="96"/>
      <c r="E153" s="96"/>
      <c r="F153" s="96" t="s">
        <v>8</v>
      </c>
      <c r="G153" s="96">
        <v>50.1</v>
      </c>
      <c r="H153" s="97" t="s">
        <v>9</v>
      </c>
      <c r="I153" s="96"/>
    </row>
    <row r="154" spans="1:9" ht="15.75" x14ac:dyDescent="0.25">
      <c r="A154" s="93"/>
      <c r="B154" s="97" t="s">
        <v>11</v>
      </c>
      <c r="C154" s="96"/>
      <c r="D154" s="96"/>
      <c r="E154" s="96"/>
      <c r="F154" s="96" t="s">
        <v>8</v>
      </c>
      <c r="G154" s="96">
        <v>7850</v>
      </c>
      <c r="H154" s="97" t="s">
        <v>10</v>
      </c>
    </row>
    <row r="155" spans="1:9" ht="15.75" x14ac:dyDescent="0.25">
      <c r="A155" s="93"/>
      <c r="B155" s="97" t="s">
        <v>120</v>
      </c>
      <c r="C155" s="96"/>
      <c r="D155" s="96"/>
      <c r="E155" s="96"/>
      <c r="F155" s="96" t="s">
        <v>8</v>
      </c>
      <c r="G155" s="96">
        <v>3.5150000000000001</v>
      </c>
      <c r="H155" s="97" t="s">
        <v>13</v>
      </c>
    </row>
    <row r="156" spans="1:9" ht="15.75" x14ac:dyDescent="0.25">
      <c r="A156" s="93"/>
      <c r="B156" s="97" t="s">
        <v>121</v>
      </c>
      <c r="C156" s="96"/>
      <c r="D156" s="96"/>
      <c r="E156" s="96"/>
      <c r="F156" s="96" t="s">
        <v>8</v>
      </c>
      <c r="G156" s="96">
        <v>1.2649999999999999</v>
      </c>
      <c r="H156" s="97" t="s">
        <v>13</v>
      </c>
    </row>
    <row r="157" spans="1:9" ht="15.75" x14ac:dyDescent="0.25">
      <c r="A157" s="93"/>
      <c r="B157" s="97" t="s">
        <v>122</v>
      </c>
      <c r="C157" s="96"/>
      <c r="D157" s="96"/>
      <c r="E157" s="96"/>
      <c r="F157" s="96" t="s">
        <v>8</v>
      </c>
      <c r="G157" s="96">
        <v>5.0309999999999997</v>
      </c>
      <c r="H157" s="97" t="s">
        <v>13</v>
      </c>
    </row>
    <row r="158" spans="1:9" ht="15.75" x14ac:dyDescent="0.25">
      <c r="A158" s="93"/>
      <c r="B158" s="97" t="s">
        <v>123</v>
      </c>
      <c r="C158" s="96"/>
      <c r="D158" s="96"/>
      <c r="E158" s="96"/>
      <c r="F158" s="96" t="s">
        <v>8</v>
      </c>
      <c r="G158" s="96">
        <v>4</v>
      </c>
      <c r="H158" s="97" t="s">
        <v>13</v>
      </c>
    </row>
    <row r="159" spans="1:9" ht="15.75" x14ac:dyDescent="0.25">
      <c r="A159" s="93"/>
      <c r="B159" s="97" t="s">
        <v>68</v>
      </c>
      <c r="C159" s="96"/>
      <c r="D159" s="96"/>
      <c r="E159" s="96"/>
      <c r="F159" s="96"/>
      <c r="G159" s="96"/>
      <c r="H159" s="97"/>
    </row>
    <row r="160" spans="1:9" ht="15.75" x14ac:dyDescent="0.25">
      <c r="A160" s="93"/>
      <c r="B160" s="97" t="s">
        <v>69</v>
      </c>
      <c r="C160" s="96"/>
      <c r="D160" s="96"/>
      <c r="E160" s="96"/>
      <c r="F160" s="96" t="s">
        <v>8</v>
      </c>
      <c r="G160" s="96">
        <v>22.3</v>
      </c>
      <c r="H160" s="97" t="s">
        <v>9</v>
      </c>
    </row>
    <row r="161" spans="1:9" ht="15.75" x14ac:dyDescent="0.25">
      <c r="A161" s="93"/>
      <c r="B161" s="97" t="s">
        <v>14</v>
      </c>
      <c r="C161" s="96"/>
      <c r="D161" s="96"/>
      <c r="E161" s="96"/>
      <c r="F161" s="96" t="s">
        <v>8</v>
      </c>
      <c r="G161" s="96">
        <v>35.799999999999997</v>
      </c>
      <c r="H161" s="97" t="s">
        <v>9</v>
      </c>
    </row>
    <row r="162" spans="1:9" ht="15.75" x14ac:dyDescent="0.25">
      <c r="A162" s="93"/>
      <c r="B162" s="97" t="s">
        <v>125</v>
      </c>
      <c r="C162" s="96"/>
      <c r="D162" s="96"/>
      <c r="E162" s="96"/>
      <c r="F162" s="96"/>
      <c r="G162" s="96"/>
      <c r="H162" s="97"/>
    </row>
    <row r="163" spans="1:9" ht="15.75" x14ac:dyDescent="0.25">
      <c r="A163" s="93"/>
      <c r="B163" s="97" t="s">
        <v>41</v>
      </c>
      <c r="C163" s="96"/>
      <c r="D163" s="96"/>
      <c r="E163" s="96"/>
      <c r="F163" s="96" t="s">
        <v>8</v>
      </c>
      <c r="G163" s="96">
        <v>11</v>
      </c>
      <c r="H163" s="97" t="s">
        <v>9</v>
      </c>
      <c r="I163" s="96"/>
    </row>
    <row r="164" spans="1:9" ht="15.75" x14ac:dyDescent="0.25">
      <c r="A164" s="93"/>
      <c r="B164" s="97" t="s">
        <v>127</v>
      </c>
      <c r="C164" s="96"/>
      <c r="D164" s="96"/>
      <c r="E164" s="96"/>
      <c r="F164" s="96"/>
      <c r="G164" s="96"/>
      <c r="H164" s="97"/>
      <c r="I164" s="96"/>
    </row>
    <row r="165" spans="1:9" ht="15.75" x14ac:dyDescent="0.25">
      <c r="A165" s="93"/>
      <c r="B165" s="97" t="s">
        <v>128</v>
      </c>
      <c r="C165" s="96"/>
      <c r="D165" s="96"/>
      <c r="E165" s="96"/>
      <c r="F165" s="96" t="s">
        <v>8</v>
      </c>
      <c r="G165" s="96">
        <v>19.7</v>
      </c>
      <c r="H165" s="97" t="s">
        <v>9</v>
      </c>
      <c r="I165" s="96"/>
    </row>
    <row r="166" spans="1:9" ht="15.75" x14ac:dyDescent="0.25">
      <c r="A166" s="93"/>
      <c r="B166" s="97" t="s">
        <v>47</v>
      </c>
      <c r="C166" s="96" t="s">
        <v>8</v>
      </c>
      <c r="D166" s="96">
        <v>0.65</v>
      </c>
      <c r="E166" s="96" t="s">
        <v>44</v>
      </c>
      <c r="F166" s="96">
        <v>0.5</v>
      </c>
      <c r="G166" s="96" t="s">
        <v>44</v>
      </c>
      <c r="H166" s="96">
        <v>0.02</v>
      </c>
      <c r="I166" s="96"/>
    </row>
    <row r="167" spans="1:9" ht="15.75" x14ac:dyDescent="0.25">
      <c r="A167" s="93"/>
      <c r="B167" s="97" t="s">
        <v>11</v>
      </c>
      <c r="C167" s="96"/>
      <c r="D167" s="96"/>
      <c r="E167" s="96"/>
      <c r="F167" s="96" t="s">
        <v>8</v>
      </c>
      <c r="G167" s="96">
        <v>7850</v>
      </c>
      <c r="H167" s="97" t="s">
        <v>10</v>
      </c>
      <c r="I167" s="96"/>
    </row>
    <row r="168" spans="1:9" ht="15.75" x14ac:dyDescent="0.25">
      <c r="A168" s="93"/>
      <c r="B168" s="97" t="s">
        <v>126</v>
      </c>
      <c r="C168" s="96"/>
      <c r="D168" s="96"/>
      <c r="E168" s="96"/>
      <c r="F168" s="96"/>
      <c r="G168" s="96"/>
      <c r="H168" s="97"/>
      <c r="I168" s="96"/>
    </row>
    <row r="169" spans="1:9" ht="15.75" x14ac:dyDescent="0.25">
      <c r="A169" s="93"/>
      <c r="B169" s="97" t="s">
        <v>26</v>
      </c>
      <c r="C169" s="96"/>
      <c r="D169" s="96"/>
      <c r="E169" s="96"/>
      <c r="F169" s="96" t="s">
        <v>8</v>
      </c>
      <c r="G169" s="96">
        <v>7.7</v>
      </c>
      <c r="H169" s="97" t="s">
        <v>9</v>
      </c>
      <c r="I169" s="96"/>
    </row>
    <row r="170" spans="1:9" ht="15.75" x14ac:dyDescent="0.25">
      <c r="A170" s="93"/>
      <c r="B170" s="97" t="s">
        <v>130</v>
      </c>
      <c r="C170" s="96"/>
      <c r="D170" s="96"/>
      <c r="E170" s="96"/>
      <c r="F170" s="96"/>
      <c r="G170" s="96"/>
      <c r="H170" s="97"/>
      <c r="I170" s="96"/>
    </row>
    <row r="171" spans="1:9" ht="15.75" x14ac:dyDescent="0.25">
      <c r="A171" s="93"/>
      <c r="B171" s="97" t="s">
        <v>40</v>
      </c>
      <c r="C171" s="96"/>
      <c r="D171" s="96"/>
      <c r="E171" s="96"/>
      <c r="F171" s="96" t="s">
        <v>8</v>
      </c>
      <c r="G171" s="96">
        <v>14.9</v>
      </c>
      <c r="H171" s="97" t="s">
        <v>9</v>
      </c>
      <c r="I171" s="96"/>
    </row>
    <row r="172" spans="1:9" ht="15.75" x14ac:dyDescent="0.25">
      <c r="A172" s="93"/>
      <c r="B172" s="97" t="s">
        <v>162</v>
      </c>
      <c r="C172" s="96"/>
      <c r="D172" s="96"/>
      <c r="E172" s="96"/>
      <c r="F172" s="96"/>
      <c r="G172" s="96"/>
      <c r="H172" s="97"/>
      <c r="I172" s="96"/>
    </row>
    <row r="173" spans="1:9" ht="15.75" x14ac:dyDescent="0.25">
      <c r="A173" s="93"/>
      <c r="B173" s="97" t="s">
        <v>26</v>
      </c>
      <c r="C173" s="96"/>
      <c r="D173" s="96"/>
      <c r="E173" s="96"/>
      <c r="F173" s="96" t="s">
        <v>8</v>
      </c>
      <c r="G173" s="96">
        <v>7.7</v>
      </c>
      <c r="H173" s="97" t="s">
        <v>9</v>
      </c>
      <c r="I173" s="96"/>
    </row>
    <row r="174" spans="1:9" ht="15.75" x14ac:dyDescent="0.25">
      <c r="A174" s="93"/>
      <c r="C174" s="96"/>
      <c r="D174" s="96"/>
      <c r="E174" s="96"/>
      <c r="F174" s="96"/>
      <c r="G174" s="96"/>
      <c r="H174" s="96"/>
      <c r="I174" s="96"/>
    </row>
    <row r="175" spans="1:9" ht="15.75" x14ac:dyDescent="0.25">
      <c r="A175" s="98" t="s">
        <v>23</v>
      </c>
    </row>
    <row r="177" spans="1:24" ht="15.75" x14ac:dyDescent="0.25">
      <c r="A177" s="99" t="s">
        <v>2</v>
      </c>
      <c r="B177" s="99" t="s">
        <v>0</v>
      </c>
      <c r="C177" s="99" t="s">
        <v>1</v>
      </c>
      <c r="D177" s="99" t="s">
        <v>21</v>
      </c>
      <c r="E177" s="99" t="s">
        <v>15</v>
      </c>
      <c r="F177" s="99" t="s">
        <v>16</v>
      </c>
      <c r="G177" s="99" t="s">
        <v>18</v>
      </c>
      <c r="H177" s="99" t="s">
        <v>17</v>
      </c>
      <c r="I177" s="99" t="s">
        <v>6</v>
      </c>
    </row>
    <row r="178" spans="1:24" ht="15.75" x14ac:dyDescent="0.25">
      <c r="A178" s="100">
        <v>1</v>
      </c>
      <c r="B178" s="101" t="s">
        <v>19</v>
      </c>
      <c r="C178" s="99"/>
      <c r="D178" s="99"/>
      <c r="E178" s="99"/>
      <c r="F178" s="99"/>
      <c r="G178" s="99"/>
      <c r="H178" s="99"/>
      <c r="I178" s="99"/>
    </row>
    <row r="179" spans="1:24" x14ac:dyDescent="0.25">
      <c r="A179" s="102"/>
      <c r="B179" s="103" t="s">
        <v>20</v>
      </c>
      <c r="C179" s="104" t="s">
        <v>5</v>
      </c>
      <c r="D179" s="104">
        <f>2*8</f>
        <v>16</v>
      </c>
      <c r="E179" s="105">
        <f>D166</f>
        <v>0.65</v>
      </c>
      <c r="F179" s="104">
        <f>F166</f>
        <v>0.5</v>
      </c>
      <c r="G179" s="104">
        <f>H166</f>
        <v>0.02</v>
      </c>
      <c r="H179" s="104" t="s">
        <v>22</v>
      </c>
      <c r="I179" s="106">
        <f>(D179*E179*F179*G179)*7850</f>
        <v>816.40000000000009</v>
      </c>
      <c r="R179" s="107">
        <f>I179</f>
        <v>816.40000000000009</v>
      </c>
    </row>
    <row r="180" spans="1:24" x14ac:dyDescent="0.25">
      <c r="A180" s="104"/>
      <c r="B180" s="103" t="s">
        <v>65</v>
      </c>
      <c r="C180" s="104" t="s">
        <v>5</v>
      </c>
      <c r="D180" s="104">
        <f>16*4</f>
        <v>64</v>
      </c>
      <c r="E180" s="105">
        <v>0.13</v>
      </c>
      <c r="F180" s="104">
        <v>0.25</v>
      </c>
      <c r="G180" s="104">
        <v>1.6E-2</v>
      </c>
      <c r="H180" s="104" t="s">
        <v>22</v>
      </c>
      <c r="I180" s="106">
        <f>(D180*E180*F180*G180)*7850</f>
        <v>261.24800000000005</v>
      </c>
      <c r="U180" s="107">
        <f>I180</f>
        <v>261.24800000000005</v>
      </c>
    </row>
    <row r="181" spans="1:24" x14ac:dyDescent="0.25">
      <c r="A181" s="104"/>
      <c r="B181" s="103" t="s">
        <v>129</v>
      </c>
      <c r="C181" s="104" t="s">
        <v>5</v>
      </c>
      <c r="D181" s="104">
        <f>2*16</f>
        <v>32</v>
      </c>
      <c r="E181" s="105">
        <v>0.5</v>
      </c>
      <c r="F181" s="104" t="s">
        <v>22</v>
      </c>
      <c r="G181" s="104" t="s">
        <v>22</v>
      </c>
      <c r="H181" s="104" t="s">
        <v>22</v>
      </c>
      <c r="I181" s="108">
        <f>D181*E181*G171</f>
        <v>238.4</v>
      </c>
      <c r="N181" s="107">
        <f>I181</f>
        <v>238.4</v>
      </c>
    </row>
    <row r="182" spans="1:24" x14ac:dyDescent="0.25">
      <c r="A182" s="104"/>
      <c r="B182" s="103" t="s">
        <v>131</v>
      </c>
      <c r="C182" s="104" t="s">
        <v>5</v>
      </c>
      <c r="D182" s="104">
        <f>2*16</f>
        <v>32</v>
      </c>
      <c r="E182" s="105">
        <v>0.25</v>
      </c>
      <c r="F182" s="104">
        <v>0.5</v>
      </c>
      <c r="G182" s="104">
        <v>1.6E-2</v>
      </c>
      <c r="H182" s="104" t="s">
        <v>22</v>
      </c>
      <c r="I182" s="106">
        <f>(D182*E182*F182*G182)*7850</f>
        <v>502.40000000000003</v>
      </c>
      <c r="U182" s="107">
        <f>I182</f>
        <v>502.40000000000003</v>
      </c>
    </row>
    <row r="183" spans="1:24" x14ac:dyDescent="0.25">
      <c r="A183" s="104"/>
      <c r="B183" s="103" t="s">
        <v>224</v>
      </c>
      <c r="C183" s="104" t="s">
        <v>5</v>
      </c>
      <c r="D183" s="104">
        <f>6*16</f>
        <v>96</v>
      </c>
      <c r="E183" s="105">
        <v>1.5</v>
      </c>
      <c r="F183" s="104" t="s">
        <v>22</v>
      </c>
      <c r="G183" s="104" t="s">
        <v>22</v>
      </c>
      <c r="H183" s="104" t="s">
        <v>22</v>
      </c>
      <c r="I183" s="110">
        <v>578.4</v>
      </c>
      <c r="V183" s="107">
        <f>I184</f>
        <v>395.64</v>
      </c>
    </row>
    <row r="184" spans="1:24" x14ac:dyDescent="0.25">
      <c r="A184" s="104"/>
      <c r="B184" s="103" t="s">
        <v>225</v>
      </c>
      <c r="C184" s="104" t="s">
        <v>5</v>
      </c>
      <c r="D184" s="104">
        <f>2*2*16</f>
        <v>64</v>
      </c>
      <c r="E184" s="105">
        <v>1.05</v>
      </c>
      <c r="F184" s="104" t="s">
        <v>22</v>
      </c>
      <c r="G184" s="104" t="s">
        <v>22</v>
      </c>
      <c r="H184" s="104" t="s">
        <v>22</v>
      </c>
      <c r="I184" s="106">
        <f>(D184*E184*0.075*0.01*7850)</f>
        <v>395.64</v>
      </c>
    </row>
    <row r="185" spans="1:24" x14ac:dyDescent="0.25">
      <c r="A185" s="104"/>
      <c r="B185" s="104"/>
      <c r="C185" s="104"/>
      <c r="D185" s="104"/>
      <c r="E185" s="105"/>
      <c r="F185" s="104"/>
      <c r="G185" s="104"/>
      <c r="H185" s="104"/>
      <c r="I185" s="110"/>
    </row>
    <row r="186" spans="1:24" ht="15.75" x14ac:dyDescent="0.25">
      <c r="A186" s="104">
        <v>2</v>
      </c>
      <c r="B186" s="111" t="s">
        <v>132</v>
      </c>
      <c r="C186" s="104"/>
      <c r="D186" s="104"/>
      <c r="E186" s="105"/>
      <c r="F186" s="104"/>
      <c r="G186" s="104"/>
      <c r="H186" s="104"/>
      <c r="I186" s="110"/>
    </row>
    <row r="187" spans="1:24" x14ac:dyDescent="0.25">
      <c r="A187" s="104"/>
      <c r="B187" s="103" t="s">
        <v>133</v>
      </c>
      <c r="C187" s="104" t="s">
        <v>5</v>
      </c>
      <c r="D187" s="104">
        <f>2*4</f>
        <v>8</v>
      </c>
      <c r="E187" s="105">
        <f>G155</f>
        <v>3.5150000000000001</v>
      </c>
      <c r="F187" s="104" t="s">
        <v>22</v>
      </c>
      <c r="G187" s="104" t="s">
        <v>22</v>
      </c>
      <c r="H187" s="104" t="s">
        <v>22</v>
      </c>
      <c r="I187" s="108">
        <f>D187*E187*G151</f>
        <v>1473.4880000000001</v>
      </c>
    </row>
    <row r="188" spans="1:24" x14ac:dyDescent="0.25">
      <c r="A188" s="104"/>
      <c r="B188" s="103" t="s">
        <v>134</v>
      </c>
      <c r="C188" s="104" t="s">
        <v>5</v>
      </c>
      <c r="D188" s="104">
        <f>2*4</f>
        <v>8</v>
      </c>
      <c r="E188" s="105">
        <f>G156</f>
        <v>1.2649999999999999</v>
      </c>
      <c r="F188" s="104" t="s">
        <v>22</v>
      </c>
      <c r="G188" s="104" t="s">
        <v>22</v>
      </c>
      <c r="H188" s="104" t="s">
        <v>22</v>
      </c>
      <c r="I188" s="108">
        <f>D188*E188*G151</f>
        <v>530.2879999999999</v>
      </c>
      <c r="X188" s="107">
        <f>I187</f>
        <v>1473.4880000000001</v>
      </c>
    </row>
    <row r="189" spans="1:24" ht="15.75" x14ac:dyDescent="0.25">
      <c r="A189" s="99"/>
      <c r="B189" s="103" t="s">
        <v>135</v>
      </c>
      <c r="C189" s="104" t="s">
        <v>5</v>
      </c>
      <c r="D189" s="104">
        <f>2*8</f>
        <v>16</v>
      </c>
      <c r="E189" s="105">
        <v>0.15</v>
      </c>
      <c r="F189" s="104">
        <v>0.35</v>
      </c>
      <c r="G189" s="104">
        <v>0.01</v>
      </c>
      <c r="H189" s="104" t="s">
        <v>22</v>
      </c>
      <c r="I189" s="106">
        <f>(D189*E189*F189*G189)*7850</f>
        <v>65.94</v>
      </c>
      <c r="S189" s="107">
        <f>I189</f>
        <v>65.94</v>
      </c>
      <c r="X189" s="107">
        <f>I188</f>
        <v>530.2879999999999</v>
      </c>
    </row>
    <row r="190" spans="1:24" ht="15.75" x14ac:dyDescent="0.25">
      <c r="A190" s="99"/>
      <c r="B190" s="99"/>
      <c r="C190" s="99"/>
      <c r="D190" s="99"/>
      <c r="E190" s="99"/>
      <c r="F190" s="99"/>
      <c r="G190" s="99"/>
      <c r="H190" s="99"/>
      <c r="I190" s="99"/>
    </row>
    <row r="191" spans="1:24" ht="15.75" x14ac:dyDescent="0.25">
      <c r="A191" s="104">
        <v>3</v>
      </c>
      <c r="B191" s="111" t="s">
        <v>136</v>
      </c>
      <c r="C191" s="104"/>
      <c r="D191" s="104"/>
      <c r="E191" s="105"/>
      <c r="F191" s="104"/>
      <c r="G191" s="104"/>
      <c r="H191" s="104"/>
      <c r="I191" s="110"/>
    </row>
    <row r="192" spans="1:24" x14ac:dyDescent="0.25">
      <c r="A192" s="104"/>
      <c r="B192" s="103" t="s">
        <v>137</v>
      </c>
      <c r="C192" s="104" t="s">
        <v>5</v>
      </c>
      <c r="D192" s="104">
        <f>2*4</f>
        <v>8</v>
      </c>
      <c r="E192" s="105">
        <f>G157</f>
        <v>5.0309999999999997</v>
      </c>
      <c r="F192" s="104" t="s">
        <v>22</v>
      </c>
      <c r="G192" s="104" t="s">
        <v>22</v>
      </c>
      <c r="H192" s="104" t="s">
        <v>22</v>
      </c>
      <c r="I192" s="108">
        <f>D192*E192*G153</f>
        <v>2016.4248</v>
      </c>
    </row>
    <row r="193" spans="1:25" x14ac:dyDescent="0.25">
      <c r="A193" s="104"/>
      <c r="B193" s="103" t="s">
        <v>138</v>
      </c>
      <c r="C193" s="104" t="s">
        <v>5</v>
      </c>
      <c r="D193" s="104">
        <f>2*2</f>
        <v>4</v>
      </c>
      <c r="E193" s="105">
        <f>G158</f>
        <v>4</v>
      </c>
      <c r="F193" s="104" t="s">
        <v>22</v>
      </c>
      <c r="G193" s="104" t="s">
        <v>22</v>
      </c>
      <c r="H193" s="104" t="s">
        <v>22</v>
      </c>
      <c r="I193" s="108">
        <f>D193*E193*G153</f>
        <v>801.6</v>
      </c>
      <c r="W193" s="107">
        <f>I192</f>
        <v>2016.4248</v>
      </c>
    </row>
    <row r="194" spans="1:25" ht="15.75" x14ac:dyDescent="0.25">
      <c r="A194" s="99"/>
      <c r="B194" s="103" t="s">
        <v>139</v>
      </c>
      <c r="C194" s="104" t="s">
        <v>5</v>
      </c>
      <c r="D194" s="104">
        <f>2*8</f>
        <v>16</v>
      </c>
      <c r="E194" s="105">
        <v>0.5</v>
      </c>
      <c r="F194" s="104">
        <v>0.2</v>
      </c>
      <c r="G194" s="104">
        <v>1.6E-2</v>
      </c>
      <c r="H194" s="104" t="s">
        <v>22</v>
      </c>
      <c r="I194" s="106">
        <f>(D194*E194*F194*G194)*7850</f>
        <v>200.96</v>
      </c>
      <c r="U194" s="107">
        <f>I194</f>
        <v>200.96</v>
      </c>
      <c r="W194" s="107">
        <f>I193</f>
        <v>801.6</v>
      </c>
    </row>
    <row r="195" spans="1:25" ht="15.75" x14ac:dyDescent="0.25">
      <c r="A195" s="99"/>
      <c r="B195" s="103" t="s">
        <v>140</v>
      </c>
      <c r="C195" s="104" t="s">
        <v>5</v>
      </c>
      <c r="D195" s="104">
        <f>2*4</f>
        <v>8</v>
      </c>
      <c r="E195" s="105">
        <v>0.23400000000000001</v>
      </c>
      <c r="F195" s="105">
        <v>0.23400000000000001</v>
      </c>
      <c r="G195" s="104">
        <v>1.6E-2</v>
      </c>
      <c r="H195" s="104" t="s">
        <v>22</v>
      </c>
      <c r="I195" s="106">
        <f>(D195*E195*F195*G195)*7850</f>
        <v>55.018828800000009</v>
      </c>
      <c r="U195" s="107">
        <f>I195</f>
        <v>55.018828800000009</v>
      </c>
    </row>
    <row r="196" spans="1:25" ht="15.75" x14ac:dyDescent="0.25">
      <c r="A196" s="99"/>
      <c r="B196" s="103" t="s">
        <v>141</v>
      </c>
      <c r="C196" s="104" t="s">
        <v>5</v>
      </c>
      <c r="D196" s="104">
        <f>2*4</f>
        <v>8</v>
      </c>
      <c r="E196" s="105">
        <v>0.17</v>
      </c>
      <c r="F196" s="105">
        <v>0.5</v>
      </c>
      <c r="G196" s="104">
        <v>1.6E-2</v>
      </c>
      <c r="H196" s="104" t="s">
        <v>22</v>
      </c>
      <c r="I196" s="106">
        <f>(D196*E196*F196*G196)*7850</f>
        <v>85.408000000000001</v>
      </c>
      <c r="U196" s="107">
        <f>I196</f>
        <v>85.408000000000001</v>
      </c>
    </row>
    <row r="197" spans="1:25" ht="15.75" x14ac:dyDescent="0.25">
      <c r="A197" s="99"/>
      <c r="B197" s="103" t="s">
        <v>142</v>
      </c>
      <c r="C197" s="104" t="s">
        <v>5</v>
      </c>
      <c r="D197" s="104">
        <f>2*4*2</f>
        <v>16</v>
      </c>
      <c r="E197" s="105">
        <v>0.3</v>
      </c>
      <c r="F197" s="104" t="s">
        <v>22</v>
      </c>
      <c r="G197" s="104" t="s">
        <v>22</v>
      </c>
      <c r="H197" s="104" t="s">
        <v>22</v>
      </c>
      <c r="I197" s="108">
        <f>(D197*E197*G165)</f>
        <v>94.559999999999988</v>
      </c>
      <c r="M197" s="107">
        <f>I197</f>
        <v>94.559999999999988</v>
      </c>
    </row>
    <row r="198" spans="1:25" ht="15.75" x14ac:dyDescent="0.25">
      <c r="A198" s="99"/>
      <c r="B198" s="103"/>
      <c r="C198" s="104"/>
      <c r="D198" s="104"/>
      <c r="E198" s="105"/>
      <c r="F198" s="104"/>
      <c r="G198" s="104"/>
      <c r="H198" s="104"/>
    </row>
    <row r="199" spans="1:25" ht="15.75" x14ac:dyDescent="0.25">
      <c r="A199" s="104">
        <v>4</v>
      </c>
      <c r="B199" s="111" t="s">
        <v>143</v>
      </c>
      <c r="C199" s="104"/>
      <c r="D199" s="104"/>
      <c r="E199" s="105"/>
      <c r="F199" s="104"/>
      <c r="G199" s="104"/>
      <c r="H199" s="104"/>
      <c r="I199" s="110"/>
    </row>
    <row r="200" spans="1:25" x14ac:dyDescent="0.25">
      <c r="A200" s="104"/>
      <c r="B200" s="103" t="s">
        <v>144</v>
      </c>
      <c r="C200" s="104" t="s">
        <v>5</v>
      </c>
      <c r="D200" s="104">
        <f>2*8</f>
        <v>16</v>
      </c>
      <c r="E200" s="105">
        <v>1.63</v>
      </c>
      <c r="F200" s="104" t="s">
        <v>22</v>
      </c>
      <c r="G200" s="104" t="s">
        <v>22</v>
      </c>
      <c r="H200" s="104" t="s">
        <v>22</v>
      </c>
      <c r="I200" s="108">
        <f>D200*E200*G160</f>
        <v>581.58399999999995</v>
      </c>
    </row>
    <row r="201" spans="1:25" x14ac:dyDescent="0.25">
      <c r="A201" s="104"/>
      <c r="B201" s="103" t="s">
        <v>145</v>
      </c>
      <c r="C201" s="104" t="s">
        <v>5</v>
      </c>
      <c r="D201" s="104">
        <f>2*18</f>
        <v>36</v>
      </c>
      <c r="E201" s="105">
        <v>2.98</v>
      </c>
      <c r="F201" s="104" t="s">
        <v>22</v>
      </c>
      <c r="G201" s="104" t="s">
        <v>22</v>
      </c>
      <c r="H201" s="104" t="s">
        <v>22</v>
      </c>
      <c r="I201" s="108">
        <f>D201*E201*G160</f>
        <v>2392.3440000000001</v>
      </c>
      <c r="Y201" s="107">
        <f>I200</f>
        <v>581.58399999999995</v>
      </c>
    </row>
    <row r="202" spans="1:25" ht="15.75" x14ac:dyDescent="0.25">
      <c r="A202" s="99"/>
      <c r="B202" s="103" t="s">
        <v>146</v>
      </c>
      <c r="C202" s="104" t="s">
        <v>5</v>
      </c>
      <c r="D202" s="104">
        <f>2*8*2</f>
        <v>32</v>
      </c>
      <c r="E202" s="105">
        <v>0.2</v>
      </c>
      <c r="F202" s="104" t="s">
        <v>22</v>
      </c>
      <c r="G202" s="104" t="s">
        <v>22</v>
      </c>
      <c r="H202" s="104" t="s">
        <v>22</v>
      </c>
      <c r="I202" s="108">
        <f>D202*E202*G161</f>
        <v>229.12</v>
      </c>
      <c r="L202" s="113">
        <f>I202</f>
        <v>229.12</v>
      </c>
      <c r="Y202" s="107">
        <f>I201</f>
        <v>2392.3440000000001</v>
      </c>
    </row>
    <row r="203" spans="1:25" ht="15.75" x14ac:dyDescent="0.25">
      <c r="A203" s="99"/>
      <c r="B203" s="103" t="s">
        <v>140</v>
      </c>
      <c r="C203" s="104" t="s">
        <v>5</v>
      </c>
      <c r="D203" s="104">
        <f>2*4*2</f>
        <v>16</v>
      </c>
      <c r="E203" s="105">
        <v>0.13400000000000001</v>
      </c>
      <c r="F203" s="105">
        <v>0.13400000000000001</v>
      </c>
      <c r="G203" s="104">
        <v>1.6E-2</v>
      </c>
      <c r="H203" s="104" t="s">
        <v>22</v>
      </c>
      <c r="I203" s="106">
        <f>(D203*E203*F203*G203)*7850</f>
        <v>36.084377600000003</v>
      </c>
      <c r="U203" s="107">
        <f>I203</f>
        <v>36.084377600000003</v>
      </c>
    </row>
    <row r="204" spans="1:25" ht="15.75" x14ac:dyDescent="0.25">
      <c r="A204" s="99"/>
      <c r="B204" s="103" t="s">
        <v>147</v>
      </c>
      <c r="C204" s="104" t="s">
        <v>5</v>
      </c>
      <c r="D204" s="104">
        <f>2*9*2</f>
        <v>36</v>
      </c>
      <c r="E204" s="105">
        <v>0.14000000000000001</v>
      </c>
      <c r="F204" s="104" t="s">
        <v>22</v>
      </c>
      <c r="G204" s="104" t="s">
        <v>22</v>
      </c>
      <c r="H204" s="104" t="s">
        <v>22</v>
      </c>
      <c r="I204" s="108">
        <f>D204*E204*G169</f>
        <v>38.808000000000007</v>
      </c>
      <c r="P204" s="107">
        <f>I204</f>
        <v>38.808000000000007</v>
      </c>
    </row>
    <row r="205" spans="1:25" ht="15.75" x14ac:dyDescent="0.25">
      <c r="A205" s="99"/>
      <c r="B205" s="103" t="s">
        <v>148</v>
      </c>
      <c r="C205" s="104" t="s">
        <v>5</v>
      </c>
      <c r="D205" s="104">
        <f>2*8*2</f>
        <v>32</v>
      </c>
      <c r="E205" s="105">
        <v>0.14000000000000001</v>
      </c>
      <c r="F205" s="104" t="s">
        <v>22</v>
      </c>
      <c r="G205" s="104" t="s">
        <v>22</v>
      </c>
      <c r="H205" s="104" t="s">
        <v>22</v>
      </c>
      <c r="I205" s="108">
        <f>(D205*E205*G169)</f>
        <v>34.496000000000002</v>
      </c>
      <c r="P205" s="107">
        <f>I205</f>
        <v>34.496000000000002</v>
      </c>
    </row>
    <row r="206" spans="1:25" ht="30" x14ac:dyDescent="0.25">
      <c r="A206" s="99"/>
      <c r="B206" s="120" t="s">
        <v>149</v>
      </c>
      <c r="C206" s="102" t="s">
        <v>5</v>
      </c>
      <c r="D206" s="102">
        <f>2*10</f>
        <v>20</v>
      </c>
      <c r="E206" s="102">
        <v>0.42</v>
      </c>
      <c r="F206" s="102" t="s">
        <v>22</v>
      </c>
      <c r="G206" s="102" t="s">
        <v>22</v>
      </c>
      <c r="H206" s="102" t="s">
        <v>22</v>
      </c>
      <c r="I206" s="121">
        <f>(D206*E206*G163)</f>
        <v>92.4</v>
      </c>
      <c r="O206" s="107">
        <f>I206</f>
        <v>92.4</v>
      </c>
    </row>
    <row r="207" spans="1:25" ht="30" x14ac:dyDescent="0.25">
      <c r="A207" s="99"/>
      <c r="B207" s="120" t="s">
        <v>150</v>
      </c>
      <c r="C207" s="102" t="s">
        <v>5</v>
      </c>
      <c r="D207" s="102">
        <f>2*10</f>
        <v>20</v>
      </c>
      <c r="E207" s="102">
        <v>0.3</v>
      </c>
      <c r="F207" s="102" t="s">
        <v>22</v>
      </c>
      <c r="G207" s="102" t="s">
        <v>22</v>
      </c>
      <c r="H207" s="102" t="s">
        <v>22</v>
      </c>
      <c r="I207" s="121">
        <f>(D207*E207*G163)</f>
        <v>66</v>
      </c>
      <c r="M207" s="90" t="s">
        <v>227</v>
      </c>
      <c r="O207" s="107">
        <f>I207</f>
        <v>66</v>
      </c>
    </row>
    <row r="208" spans="1:25" ht="15.75" x14ac:dyDescent="0.25">
      <c r="A208" s="99"/>
      <c r="B208" s="99"/>
      <c r="C208" s="99"/>
      <c r="D208" s="99"/>
      <c r="E208" s="99"/>
      <c r="F208" s="99"/>
      <c r="G208" s="99"/>
      <c r="H208" s="99"/>
      <c r="I208" s="99"/>
    </row>
    <row r="209" spans="1:19" ht="15.75" x14ac:dyDescent="0.25">
      <c r="A209" s="104">
        <v>5</v>
      </c>
      <c r="B209" s="112" t="s">
        <v>152</v>
      </c>
      <c r="C209" s="104"/>
      <c r="D209" s="104"/>
      <c r="E209" s="105"/>
      <c r="F209" s="104"/>
      <c r="G209" s="104" t="s">
        <v>226</v>
      </c>
      <c r="H209" s="104"/>
      <c r="I209" s="110"/>
    </row>
    <row r="210" spans="1:19" x14ac:dyDescent="0.25">
      <c r="A210" s="104"/>
      <c r="B210" s="103" t="s">
        <v>151</v>
      </c>
      <c r="C210" s="104" t="s">
        <v>5</v>
      </c>
      <c r="D210" s="104">
        <f>4*4</f>
        <v>16</v>
      </c>
      <c r="E210" s="105">
        <v>1.63</v>
      </c>
      <c r="F210" s="104" t="s">
        <v>22</v>
      </c>
      <c r="G210" s="104" t="s">
        <v>22</v>
      </c>
      <c r="H210" s="104" t="s">
        <v>22</v>
      </c>
      <c r="I210" s="108">
        <f>(D210*E210*G163)</f>
        <v>286.88</v>
      </c>
      <c r="O210" s="107">
        <f>I210</f>
        <v>286.88</v>
      </c>
    </row>
    <row r="211" spans="1:19" x14ac:dyDescent="0.25">
      <c r="A211" s="104"/>
      <c r="B211" s="103" t="s">
        <v>153</v>
      </c>
      <c r="C211" s="104" t="s">
        <v>5</v>
      </c>
      <c r="D211" s="104">
        <f>4*4</f>
        <v>16</v>
      </c>
      <c r="E211" s="105">
        <v>2.96</v>
      </c>
      <c r="F211" s="104" t="s">
        <v>22</v>
      </c>
      <c r="G211" s="104" t="s">
        <v>22</v>
      </c>
      <c r="H211" s="104" t="s">
        <v>22</v>
      </c>
      <c r="I211" s="108">
        <f>(D211*E211*G163)</f>
        <v>520.96</v>
      </c>
      <c r="O211" s="107">
        <f>I211</f>
        <v>520.96</v>
      </c>
    </row>
    <row r="212" spans="1:19" x14ac:dyDescent="0.25">
      <c r="A212" s="104"/>
      <c r="B212" s="103" t="s">
        <v>154</v>
      </c>
      <c r="C212" s="104" t="s">
        <v>5</v>
      </c>
      <c r="D212" s="104">
        <f>4*8</f>
        <v>32</v>
      </c>
      <c r="E212" s="105">
        <v>1.4139999999999999</v>
      </c>
      <c r="F212" s="104" t="s">
        <v>22</v>
      </c>
      <c r="G212" s="104" t="s">
        <v>22</v>
      </c>
      <c r="H212" s="104" t="s">
        <v>22</v>
      </c>
      <c r="I212" s="108">
        <f>(D212*E212*G163)</f>
        <v>497.72799999999995</v>
      </c>
      <c r="O212" s="107">
        <f>I212</f>
        <v>497.72799999999995</v>
      </c>
    </row>
    <row r="213" spans="1:19" x14ac:dyDescent="0.25">
      <c r="A213" s="104"/>
      <c r="B213" s="103" t="s">
        <v>155</v>
      </c>
      <c r="C213" s="104" t="s">
        <v>5</v>
      </c>
      <c r="D213" s="104">
        <f>4*8</f>
        <v>32</v>
      </c>
      <c r="E213" s="105">
        <v>2.0110000000000001</v>
      </c>
      <c r="F213" s="104" t="s">
        <v>22</v>
      </c>
      <c r="G213" s="104" t="s">
        <v>22</v>
      </c>
      <c r="H213" s="104" t="s">
        <v>22</v>
      </c>
      <c r="I213" s="108">
        <f>(D213*E213*G163)</f>
        <v>707.87200000000007</v>
      </c>
      <c r="O213" s="107">
        <f>I213</f>
        <v>707.87200000000007</v>
      </c>
    </row>
    <row r="214" spans="1:19" ht="15.75" x14ac:dyDescent="0.25">
      <c r="A214" s="104"/>
      <c r="B214" s="111" t="s">
        <v>104</v>
      </c>
      <c r="C214" s="104"/>
      <c r="D214" s="104"/>
      <c r="E214" s="105"/>
      <c r="F214" s="104"/>
      <c r="G214" s="104"/>
      <c r="H214" s="104"/>
      <c r="I214" s="110"/>
    </row>
    <row r="215" spans="1:19" x14ac:dyDescent="0.25">
      <c r="A215" s="104"/>
      <c r="B215" s="103" t="s">
        <v>28</v>
      </c>
      <c r="C215" s="104" t="s">
        <v>5</v>
      </c>
      <c r="D215" s="104">
        <f>2*8</f>
        <v>16</v>
      </c>
      <c r="E215" s="105">
        <v>0.24099999999999999</v>
      </c>
      <c r="F215" s="104">
        <v>0.215</v>
      </c>
      <c r="G215" s="104">
        <v>0.01</v>
      </c>
      <c r="H215" s="104" t="s">
        <v>22</v>
      </c>
      <c r="I215" s="106">
        <f>(D215*E215*F215*G215)*7850</f>
        <v>65.079639999999998</v>
      </c>
      <c r="S215" s="107">
        <f>I215</f>
        <v>65.079639999999998</v>
      </c>
    </row>
    <row r="216" spans="1:19" x14ac:dyDescent="0.25">
      <c r="A216" s="104"/>
      <c r="B216" s="103" t="s">
        <v>29</v>
      </c>
      <c r="C216" s="104" t="s">
        <v>5</v>
      </c>
      <c r="D216" s="104">
        <f>2*2</f>
        <v>4</v>
      </c>
      <c r="E216" s="105">
        <v>0.44500000000000001</v>
      </c>
      <c r="F216" s="104">
        <v>0.23300000000000001</v>
      </c>
      <c r="G216" s="104">
        <v>0.01</v>
      </c>
      <c r="H216" s="104" t="s">
        <v>22</v>
      </c>
      <c r="I216" s="106">
        <f>(D216*E216*F216*G216)*7850</f>
        <v>32.557090000000002</v>
      </c>
      <c r="S216" s="107">
        <f>I216</f>
        <v>32.557090000000002</v>
      </c>
    </row>
    <row r="217" spans="1:19" x14ac:dyDescent="0.25">
      <c r="A217" s="104"/>
      <c r="B217" s="103" t="s">
        <v>30</v>
      </c>
      <c r="C217" s="104" t="s">
        <v>5</v>
      </c>
      <c r="D217" s="104">
        <f>2*4</f>
        <v>8</v>
      </c>
      <c r="E217" s="105">
        <v>0.36599999999999999</v>
      </c>
      <c r="F217" s="104">
        <v>0.35599999999999998</v>
      </c>
      <c r="G217" s="104">
        <v>0.01</v>
      </c>
      <c r="H217" s="104" t="s">
        <v>22</v>
      </c>
      <c r="I217" s="106">
        <f>(D217*E217*F217*G217)*7850</f>
        <v>81.825887999999992</v>
      </c>
      <c r="S217" s="107">
        <f>I217</f>
        <v>81.825887999999992</v>
      </c>
    </row>
    <row r="218" spans="1:19" x14ac:dyDescent="0.25">
      <c r="A218" s="104"/>
      <c r="B218" s="103"/>
      <c r="C218" s="104"/>
      <c r="D218" s="104"/>
      <c r="E218" s="105"/>
      <c r="F218" s="104"/>
      <c r="G218" s="104"/>
      <c r="H218" s="104"/>
    </row>
    <row r="219" spans="1:19" ht="15.75" x14ac:dyDescent="0.25">
      <c r="A219" s="104">
        <v>6</v>
      </c>
      <c r="B219" s="112" t="s">
        <v>156</v>
      </c>
      <c r="C219" s="104"/>
      <c r="D219" s="104"/>
      <c r="E219" s="105"/>
      <c r="F219" s="104"/>
      <c r="G219" s="104"/>
      <c r="H219" s="104"/>
      <c r="I219" s="110"/>
    </row>
    <row r="220" spans="1:19" x14ac:dyDescent="0.25">
      <c r="A220" s="104"/>
      <c r="B220" s="103" t="s">
        <v>151</v>
      </c>
      <c r="C220" s="104" t="s">
        <v>5</v>
      </c>
      <c r="D220" s="104">
        <f>2*4</f>
        <v>8</v>
      </c>
      <c r="E220" s="105">
        <v>1.63</v>
      </c>
      <c r="F220" s="104" t="s">
        <v>22</v>
      </c>
      <c r="G220" s="104" t="s">
        <v>22</v>
      </c>
      <c r="H220" s="104" t="s">
        <v>22</v>
      </c>
      <c r="I220" s="108">
        <f>(D220*E220*G163)</f>
        <v>143.44</v>
      </c>
      <c r="O220" s="107">
        <f>I220</f>
        <v>143.44</v>
      </c>
    </row>
    <row r="221" spans="1:19" x14ac:dyDescent="0.25">
      <c r="A221" s="104"/>
      <c r="B221" s="103" t="s">
        <v>153</v>
      </c>
      <c r="C221" s="104" t="s">
        <v>5</v>
      </c>
      <c r="D221" s="104">
        <f>2*4</f>
        <v>8</v>
      </c>
      <c r="E221" s="105">
        <v>2.96</v>
      </c>
      <c r="F221" s="104" t="s">
        <v>22</v>
      </c>
      <c r="G221" s="104" t="s">
        <v>22</v>
      </c>
      <c r="H221" s="104" t="s">
        <v>22</v>
      </c>
      <c r="I221" s="108">
        <f>(D221*E221*G163)</f>
        <v>260.48</v>
      </c>
      <c r="O221" s="107">
        <f>I221</f>
        <v>260.48</v>
      </c>
    </row>
    <row r="222" spans="1:19" x14ac:dyDescent="0.25">
      <c r="A222" s="104"/>
      <c r="B222" s="103" t="s">
        <v>154</v>
      </c>
      <c r="C222" s="104" t="s">
        <v>5</v>
      </c>
      <c r="D222" s="104">
        <f>2*8</f>
        <v>16</v>
      </c>
      <c r="E222" s="105">
        <v>0.88800000000000001</v>
      </c>
      <c r="F222" s="104" t="s">
        <v>22</v>
      </c>
      <c r="G222" s="104" t="s">
        <v>22</v>
      </c>
      <c r="H222" s="104" t="s">
        <v>22</v>
      </c>
      <c r="I222" s="108">
        <f>(D222*E222*G163)</f>
        <v>156.28800000000001</v>
      </c>
      <c r="O222" s="107">
        <f>I222</f>
        <v>156.28800000000001</v>
      </c>
    </row>
    <row r="223" spans="1:19" x14ac:dyDescent="0.25">
      <c r="A223" s="104"/>
      <c r="B223" s="103" t="s">
        <v>155</v>
      </c>
      <c r="C223" s="104" t="s">
        <v>5</v>
      </c>
      <c r="D223" s="104">
        <f>2*8</f>
        <v>16</v>
      </c>
      <c r="E223" s="105">
        <v>1.35</v>
      </c>
      <c r="F223" s="104" t="s">
        <v>22</v>
      </c>
      <c r="G223" s="104" t="s">
        <v>22</v>
      </c>
      <c r="H223" s="104" t="s">
        <v>22</v>
      </c>
      <c r="I223" s="108">
        <f>(D223*E223*G163)</f>
        <v>237.60000000000002</v>
      </c>
      <c r="O223" s="107">
        <f>I223</f>
        <v>237.60000000000002</v>
      </c>
    </row>
    <row r="224" spans="1:19" ht="15.75" x14ac:dyDescent="0.25">
      <c r="A224" s="104"/>
      <c r="B224" s="111" t="s">
        <v>104</v>
      </c>
      <c r="C224" s="104"/>
      <c r="D224" s="104"/>
      <c r="E224" s="105"/>
      <c r="F224" s="104"/>
      <c r="G224" s="104"/>
      <c r="H224" s="104"/>
      <c r="I224" s="110"/>
    </row>
    <row r="225" spans="1:19" x14ac:dyDescent="0.25">
      <c r="A225" s="104"/>
      <c r="B225" s="103" t="s">
        <v>28</v>
      </c>
      <c r="C225" s="104" t="s">
        <v>5</v>
      </c>
      <c r="D225" s="104">
        <f>2*4</f>
        <v>8</v>
      </c>
      <c r="E225" s="105">
        <v>0.23</v>
      </c>
      <c r="F225" s="104">
        <v>0.23899999999999999</v>
      </c>
      <c r="G225" s="104">
        <v>0.01</v>
      </c>
      <c r="H225" s="104" t="s">
        <v>22</v>
      </c>
      <c r="I225" s="106">
        <f>(D225*E225*F225*G225)*7850</f>
        <v>34.521159999999995</v>
      </c>
      <c r="S225" s="107">
        <f>I225</f>
        <v>34.521159999999995</v>
      </c>
    </row>
    <row r="226" spans="1:19" x14ac:dyDescent="0.25">
      <c r="A226" s="104"/>
      <c r="B226" s="103" t="s">
        <v>29</v>
      </c>
      <c r="C226" s="104" t="s">
        <v>5</v>
      </c>
      <c r="D226" s="104">
        <f>2*2</f>
        <v>4</v>
      </c>
      <c r="E226" s="105">
        <v>0.38</v>
      </c>
      <c r="F226" s="104">
        <v>0.35399999999999998</v>
      </c>
      <c r="G226" s="104">
        <v>0.01</v>
      </c>
      <c r="H226" s="104" t="s">
        <v>22</v>
      </c>
      <c r="I226" s="106">
        <f>(D226*E226*F226*G226)*7850</f>
        <v>42.239280000000001</v>
      </c>
      <c r="S226" s="107">
        <f>I226</f>
        <v>42.239280000000001</v>
      </c>
    </row>
    <row r="227" spans="1:19" x14ac:dyDescent="0.25">
      <c r="A227" s="104"/>
      <c r="B227" s="103" t="s">
        <v>30</v>
      </c>
      <c r="C227" s="104" t="s">
        <v>5</v>
      </c>
      <c r="D227" s="104">
        <f>2*2</f>
        <v>4</v>
      </c>
      <c r="E227" s="105">
        <v>0.50900000000000001</v>
      </c>
      <c r="F227" s="104">
        <v>0.33100000000000002</v>
      </c>
      <c r="G227" s="104">
        <v>0.01</v>
      </c>
      <c r="H227" s="104" t="s">
        <v>22</v>
      </c>
      <c r="I227" s="106">
        <f>(D227*E227*F227*G227)*7850</f>
        <v>52.902406000000006</v>
      </c>
      <c r="S227" s="107">
        <f>I227</f>
        <v>52.902406000000006</v>
      </c>
    </row>
    <row r="228" spans="1:19" x14ac:dyDescent="0.25">
      <c r="A228" s="104"/>
      <c r="B228" s="103" t="s">
        <v>31</v>
      </c>
      <c r="C228" s="104" t="s">
        <v>5</v>
      </c>
      <c r="D228" s="104">
        <f>2*4</f>
        <v>8</v>
      </c>
      <c r="E228" s="105">
        <v>0.216</v>
      </c>
      <c r="F228" s="104">
        <v>0.35</v>
      </c>
      <c r="G228" s="104">
        <v>0.01</v>
      </c>
      <c r="H228" s="104" t="s">
        <v>22</v>
      </c>
      <c r="I228" s="106">
        <f>(D228*E228*F228*G228)*7850</f>
        <v>47.476800000000004</v>
      </c>
      <c r="S228" s="107">
        <f>I228</f>
        <v>47.476800000000004</v>
      </c>
    </row>
    <row r="229" spans="1:19" x14ac:dyDescent="0.25">
      <c r="A229" s="104"/>
      <c r="B229" s="103"/>
      <c r="C229" s="104"/>
      <c r="D229" s="104"/>
      <c r="E229" s="105"/>
      <c r="F229" s="104"/>
      <c r="G229" s="104"/>
      <c r="H229" s="104"/>
    </row>
    <row r="230" spans="1:19" ht="15.75" x14ac:dyDescent="0.25">
      <c r="A230" s="104">
        <v>7</v>
      </c>
      <c r="B230" s="112" t="s">
        <v>157</v>
      </c>
      <c r="C230" s="104"/>
      <c r="D230" s="104"/>
      <c r="E230" s="105"/>
      <c r="F230" s="104"/>
      <c r="G230" s="104"/>
      <c r="H230" s="104"/>
      <c r="I230" s="110"/>
    </row>
    <row r="231" spans="1:19" x14ac:dyDescent="0.25">
      <c r="A231" s="104"/>
      <c r="B231" s="103" t="s">
        <v>158</v>
      </c>
      <c r="C231" s="104" t="s">
        <v>5</v>
      </c>
      <c r="D231" s="104">
        <f>2*8</f>
        <v>16</v>
      </c>
      <c r="E231" s="105">
        <v>2.8929999999999998</v>
      </c>
      <c r="F231" s="104" t="s">
        <v>22</v>
      </c>
      <c r="G231" s="104" t="s">
        <v>22</v>
      </c>
      <c r="H231" s="104" t="s">
        <v>22</v>
      </c>
      <c r="I231" s="108">
        <f>(D231*E231*G163)</f>
        <v>509.16799999999995</v>
      </c>
      <c r="O231" s="107">
        <f>I231</f>
        <v>509.16799999999995</v>
      </c>
    </row>
    <row r="232" spans="1:19" x14ac:dyDescent="0.25">
      <c r="A232" s="104"/>
      <c r="B232" s="103" t="s">
        <v>153</v>
      </c>
      <c r="C232" s="104" t="s">
        <v>5</v>
      </c>
      <c r="D232" s="104">
        <f>2*8*2</f>
        <v>32</v>
      </c>
      <c r="E232" s="105">
        <v>1.3640000000000001</v>
      </c>
      <c r="F232" s="104" t="s">
        <v>22</v>
      </c>
      <c r="G232" s="104" t="s">
        <v>22</v>
      </c>
      <c r="H232" s="104" t="s">
        <v>22</v>
      </c>
      <c r="I232" s="108">
        <f>(D232*E232*G163)</f>
        <v>480.12800000000004</v>
      </c>
      <c r="O232" s="107">
        <f>I232</f>
        <v>480.12800000000004</v>
      </c>
    </row>
    <row r="233" spans="1:19" ht="15.75" x14ac:dyDescent="0.25">
      <c r="A233" s="104"/>
      <c r="B233" s="111" t="s">
        <v>104</v>
      </c>
      <c r="C233" s="104"/>
      <c r="D233" s="104"/>
      <c r="E233" s="105"/>
      <c r="F233" s="104"/>
      <c r="G233" s="104"/>
      <c r="H233" s="104"/>
      <c r="I233" s="110"/>
    </row>
    <row r="234" spans="1:19" x14ac:dyDescent="0.25">
      <c r="A234" s="104"/>
      <c r="B234" s="103" t="s">
        <v>28</v>
      </c>
      <c r="C234" s="104" t="s">
        <v>5</v>
      </c>
      <c r="D234" s="104">
        <f>2*10</f>
        <v>20</v>
      </c>
      <c r="E234" s="105">
        <v>0.3</v>
      </c>
      <c r="F234" s="104">
        <v>0.36499999999999999</v>
      </c>
      <c r="G234" s="104">
        <v>0.01</v>
      </c>
      <c r="H234" s="104" t="s">
        <v>22</v>
      </c>
      <c r="I234" s="106">
        <f>(D234*E234*F234*G234)*7850</f>
        <v>171.91499999999999</v>
      </c>
      <c r="S234" s="107">
        <f>I234</f>
        <v>171.91499999999999</v>
      </c>
    </row>
    <row r="235" spans="1:19" x14ac:dyDescent="0.25">
      <c r="A235" s="104"/>
      <c r="B235" s="103" t="s">
        <v>29</v>
      </c>
      <c r="C235" s="104" t="s">
        <v>5</v>
      </c>
      <c r="D235" s="104">
        <f>2*10</f>
        <v>20</v>
      </c>
      <c r="E235" s="105">
        <v>0.443</v>
      </c>
      <c r="F235" s="104">
        <v>0.36499999999999999</v>
      </c>
      <c r="G235" s="104">
        <v>0.01</v>
      </c>
      <c r="H235" s="104" t="s">
        <v>22</v>
      </c>
      <c r="I235" s="106">
        <f>(D235*E235*F235*G235)*7850</f>
        <v>253.86115000000001</v>
      </c>
      <c r="S235" s="107">
        <f>I235</f>
        <v>253.86115000000001</v>
      </c>
    </row>
    <row r="236" spans="1:19" x14ac:dyDescent="0.25">
      <c r="A236" s="104"/>
      <c r="B236" s="103" t="s">
        <v>30</v>
      </c>
      <c r="C236" s="104" t="s">
        <v>5</v>
      </c>
      <c r="D236" s="104">
        <f>2*7</f>
        <v>14</v>
      </c>
      <c r="E236" s="105">
        <v>0.2</v>
      </c>
      <c r="F236" s="104">
        <v>0.46500000000000002</v>
      </c>
      <c r="G236" s="104">
        <v>0.01</v>
      </c>
      <c r="H236" s="104" t="s">
        <v>22</v>
      </c>
      <c r="I236" s="106">
        <f>(D236*E236*F236*G236)*7850</f>
        <v>102.20700000000004</v>
      </c>
      <c r="S236" s="107">
        <f>I236</f>
        <v>102.20700000000004</v>
      </c>
    </row>
    <row r="237" spans="1:19" x14ac:dyDescent="0.25">
      <c r="A237" s="104"/>
      <c r="B237" s="103" t="s">
        <v>159</v>
      </c>
      <c r="C237" s="104" t="s">
        <v>5</v>
      </c>
      <c r="D237" s="104">
        <f>2*10</f>
        <v>20</v>
      </c>
      <c r="E237" s="105">
        <v>0.443</v>
      </c>
      <c r="F237" s="104" t="s">
        <v>22</v>
      </c>
      <c r="G237" s="104" t="s">
        <v>22</v>
      </c>
      <c r="H237" s="104" t="s">
        <v>22</v>
      </c>
      <c r="I237" s="108">
        <f>(D237*E237*G163)</f>
        <v>97.46</v>
      </c>
      <c r="O237" s="107">
        <f>I237</f>
        <v>97.46</v>
      </c>
    </row>
    <row r="238" spans="1:19" x14ac:dyDescent="0.25">
      <c r="A238" s="104"/>
      <c r="B238" s="103" t="s">
        <v>160</v>
      </c>
      <c r="C238" s="104" t="s">
        <v>5</v>
      </c>
      <c r="D238" s="104">
        <f>2*10</f>
        <v>20</v>
      </c>
      <c r="E238" s="105">
        <v>0.3</v>
      </c>
      <c r="F238" s="104" t="s">
        <v>22</v>
      </c>
      <c r="G238" s="104" t="s">
        <v>22</v>
      </c>
      <c r="H238" s="104" t="s">
        <v>22</v>
      </c>
      <c r="I238" s="108">
        <f>(D238*E238*G163)</f>
        <v>66</v>
      </c>
      <c r="O238" s="107">
        <f>I238</f>
        <v>66</v>
      </c>
    </row>
    <row r="239" spans="1:19" x14ac:dyDescent="0.25">
      <c r="A239" s="104"/>
      <c r="B239" s="103"/>
      <c r="C239" s="104"/>
      <c r="D239" s="104"/>
      <c r="E239" s="105"/>
      <c r="F239" s="104"/>
      <c r="G239" s="104"/>
      <c r="H239" s="104"/>
      <c r="I239" s="110"/>
    </row>
    <row r="240" spans="1:19" ht="15.75" x14ac:dyDescent="0.25">
      <c r="A240" s="104">
        <v>8</v>
      </c>
      <c r="B240" s="112" t="s">
        <v>164</v>
      </c>
      <c r="C240" s="104"/>
      <c r="D240" s="104"/>
      <c r="E240" s="105"/>
      <c r="F240" s="104"/>
      <c r="G240" s="104"/>
      <c r="H240" s="104"/>
      <c r="I240" s="110"/>
    </row>
    <row r="241" spans="1:20" x14ac:dyDescent="0.25">
      <c r="A241" s="104"/>
      <c r="B241" s="103" t="s">
        <v>161</v>
      </c>
      <c r="C241" s="104" t="s">
        <v>5</v>
      </c>
      <c r="D241" s="104">
        <f>2*16</f>
        <v>32</v>
      </c>
      <c r="E241" s="105">
        <v>2.98</v>
      </c>
      <c r="F241" s="104" t="s">
        <v>22</v>
      </c>
      <c r="G241" s="104" t="s">
        <v>22</v>
      </c>
      <c r="H241" s="104" t="s">
        <v>22</v>
      </c>
      <c r="I241" s="108">
        <f>(D241*E241*G169)</f>
        <v>734.27200000000005</v>
      </c>
      <c r="P241" s="107">
        <f>I241</f>
        <v>734.27200000000005</v>
      </c>
    </row>
    <row r="242" spans="1:20" ht="30" x14ac:dyDescent="0.25">
      <c r="A242" s="104"/>
      <c r="B242" s="120" t="s">
        <v>163</v>
      </c>
      <c r="C242" s="102" t="s">
        <v>5</v>
      </c>
      <c r="D242" s="102">
        <v>24</v>
      </c>
      <c r="E242" s="102">
        <v>3.05</v>
      </c>
      <c r="F242" s="102" t="s">
        <v>22</v>
      </c>
      <c r="G242" s="102" t="s">
        <v>22</v>
      </c>
      <c r="H242" s="102" t="s">
        <v>22</v>
      </c>
      <c r="I242" s="121">
        <f>(D242*E242*G169)</f>
        <v>563.63999999999987</v>
      </c>
      <c r="P242" s="107">
        <f>I242</f>
        <v>563.63999999999987</v>
      </c>
    </row>
    <row r="243" spans="1:20" x14ac:dyDescent="0.25">
      <c r="A243" s="104"/>
      <c r="B243" s="103" t="s">
        <v>165</v>
      </c>
      <c r="C243" s="102" t="s">
        <v>5</v>
      </c>
      <c r="D243" s="102">
        <f>2*10</f>
        <v>20</v>
      </c>
      <c r="E243" s="102">
        <v>1.75</v>
      </c>
      <c r="F243" s="102" t="s">
        <v>22</v>
      </c>
      <c r="G243" s="102" t="s">
        <v>22</v>
      </c>
      <c r="H243" s="102" t="s">
        <v>22</v>
      </c>
      <c r="I243" s="121">
        <f>(D243*E243*G169)</f>
        <v>269.5</v>
      </c>
      <c r="P243" s="107">
        <f>I243</f>
        <v>269.5</v>
      </c>
    </row>
    <row r="244" spans="1:20" x14ac:dyDescent="0.25">
      <c r="A244" s="104"/>
      <c r="B244" s="103" t="s">
        <v>166</v>
      </c>
      <c r="C244" s="104" t="s">
        <v>5</v>
      </c>
      <c r="D244" s="104">
        <f>2*8</f>
        <v>16</v>
      </c>
      <c r="E244" s="105">
        <v>0.15</v>
      </c>
      <c r="F244" s="104">
        <v>0.35</v>
      </c>
      <c r="G244" s="104">
        <v>0.01</v>
      </c>
      <c r="H244" s="104" t="s">
        <v>22</v>
      </c>
      <c r="I244" s="106">
        <f>(D244*E244*F244*G244)*7850</f>
        <v>65.94</v>
      </c>
      <c r="S244" s="107">
        <f>I244</f>
        <v>65.94</v>
      </c>
    </row>
    <row r="245" spans="1:20" x14ac:dyDescent="0.25">
      <c r="A245" s="104"/>
      <c r="B245" s="103" t="s">
        <v>167</v>
      </c>
      <c r="C245" s="104" t="s">
        <v>5</v>
      </c>
      <c r="D245" s="104">
        <f>2*14</f>
        <v>28</v>
      </c>
      <c r="E245" s="105">
        <v>0.15</v>
      </c>
      <c r="F245" s="104">
        <v>0.31</v>
      </c>
      <c r="G245" s="104">
        <v>0.01</v>
      </c>
      <c r="H245" s="104" t="s">
        <v>22</v>
      </c>
      <c r="I245" s="106">
        <f>(D245*E245*F245*G245)*7850</f>
        <v>102.20700000000001</v>
      </c>
      <c r="S245" s="107">
        <f>I245</f>
        <v>102.20700000000001</v>
      </c>
    </row>
    <row r="246" spans="1:20" x14ac:dyDescent="0.25">
      <c r="A246" s="104"/>
      <c r="B246" s="103" t="s">
        <v>168</v>
      </c>
      <c r="C246" s="104" t="s">
        <v>5</v>
      </c>
      <c r="D246" s="104">
        <f>2*16</f>
        <v>32</v>
      </c>
      <c r="E246" s="105">
        <v>0.31</v>
      </c>
      <c r="F246" s="104">
        <v>0.18</v>
      </c>
      <c r="G246" s="104">
        <v>0.01</v>
      </c>
      <c r="H246" s="104" t="s">
        <v>22</v>
      </c>
      <c r="I246" s="106">
        <f>(D246*E246*F246*G246)*7850</f>
        <v>140.1696</v>
      </c>
      <c r="S246" s="107">
        <f>I246</f>
        <v>140.1696</v>
      </c>
    </row>
    <row r="247" spans="1:20" x14ac:dyDescent="0.25">
      <c r="A247" s="104"/>
      <c r="B247" s="103" t="s">
        <v>169</v>
      </c>
      <c r="C247" s="104" t="s">
        <v>5</v>
      </c>
      <c r="D247" s="104">
        <v>28</v>
      </c>
      <c r="E247" s="105">
        <v>0.15</v>
      </c>
      <c r="F247" s="104">
        <v>0.27</v>
      </c>
      <c r="G247" s="104">
        <v>0.01</v>
      </c>
      <c r="H247" s="104" t="s">
        <v>22</v>
      </c>
      <c r="I247" s="106">
        <f>(D247*E247*F247*G247)*7850</f>
        <v>89.019000000000005</v>
      </c>
      <c r="S247" s="107">
        <f>I247</f>
        <v>89.019000000000005</v>
      </c>
    </row>
    <row r="248" spans="1:20" x14ac:dyDescent="0.25">
      <c r="A248" s="104"/>
      <c r="B248" s="103"/>
      <c r="C248" s="104"/>
      <c r="D248" s="104"/>
      <c r="E248" s="105"/>
      <c r="F248" s="104"/>
      <c r="G248" s="104"/>
      <c r="H248" s="104"/>
      <c r="I248" s="107"/>
      <c r="S248" s="107">
        <f>I248</f>
        <v>0</v>
      </c>
    </row>
    <row r="249" spans="1:20" ht="15.75" x14ac:dyDescent="0.25">
      <c r="A249" s="104">
        <v>9</v>
      </c>
      <c r="B249" s="112" t="s">
        <v>110</v>
      </c>
      <c r="C249" s="104"/>
      <c r="D249" s="104"/>
      <c r="E249" s="105"/>
      <c r="F249" s="104"/>
      <c r="G249" s="104"/>
      <c r="H249" s="104"/>
      <c r="I249" s="110"/>
      <c r="S249" s="107"/>
    </row>
    <row r="250" spans="1:20" x14ac:dyDescent="0.25">
      <c r="A250" s="104"/>
      <c r="B250" s="103" t="s">
        <v>244</v>
      </c>
      <c r="C250" s="104" t="s">
        <v>5</v>
      </c>
      <c r="D250" s="104">
        <v>2</v>
      </c>
      <c r="E250" s="105">
        <f>19</f>
        <v>19</v>
      </c>
      <c r="F250" s="104">
        <v>3</v>
      </c>
      <c r="G250" s="104">
        <v>5.0000000000000001E-3</v>
      </c>
      <c r="H250" s="104" t="s">
        <v>22</v>
      </c>
      <c r="I250" s="106">
        <f>(D250*E250*F250*G250*7850)</f>
        <v>4474.5000000000009</v>
      </c>
      <c r="S250" s="107"/>
      <c r="T250" s="107">
        <f>I250</f>
        <v>4474.5000000000009</v>
      </c>
    </row>
    <row r="251" spans="1:20" x14ac:dyDescent="0.25">
      <c r="A251" s="104"/>
      <c r="B251" s="103"/>
      <c r="C251" s="104"/>
      <c r="D251" s="104"/>
      <c r="E251" s="105"/>
      <c r="F251" s="104"/>
      <c r="G251" s="104"/>
      <c r="H251" s="104"/>
      <c r="S251" s="107"/>
    </row>
    <row r="252" spans="1:20" ht="15.75" x14ac:dyDescent="0.25">
      <c r="A252" s="104">
        <v>10</v>
      </c>
      <c r="B252" s="112" t="s">
        <v>112</v>
      </c>
      <c r="C252" s="104"/>
      <c r="D252" s="104"/>
      <c r="E252" s="105"/>
      <c r="F252" s="104"/>
      <c r="G252" s="104"/>
      <c r="H252" s="104"/>
      <c r="I252" s="110"/>
      <c r="S252" s="107"/>
    </row>
    <row r="253" spans="1:20" x14ac:dyDescent="0.25">
      <c r="A253" s="104"/>
      <c r="B253" s="103" t="s">
        <v>244</v>
      </c>
      <c r="C253" s="104" t="s">
        <v>5</v>
      </c>
      <c r="D253" s="104">
        <f>2*2</f>
        <v>4</v>
      </c>
      <c r="E253" s="105">
        <f>19</f>
        <v>19</v>
      </c>
      <c r="F253" s="104">
        <v>0.25</v>
      </c>
      <c r="G253" s="104">
        <v>0.01</v>
      </c>
      <c r="H253" s="104" t="s">
        <v>22</v>
      </c>
      <c r="I253" s="106">
        <f>(D253*E253*F253*G253*7850)</f>
        <v>1491.5</v>
      </c>
    </row>
    <row r="255" spans="1:20" ht="15.75" x14ac:dyDescent="0.25">
      <c r="A255" s="114" t="s">
        <v>170</v>
      </c>
      <c r="S255" s="107">
        <f>I253</f>
        <v>1491.5</v>
      </c>
    </row>
    <row r="257" spans="1:9" ht="15.75" x14ac:dyDescent="0.25">
      <c r="A257" s="115" t="s">
        <v>2</v>
      </c>
      <c r="B257" s="115" t="s">
        <v>34</v>
      </c>
      <c r="C257" s="171" t="s">
        <v>35</v>
      </c>
      <c r="D257" s="172"/>
      <c r="E257" s="173"/>
      <c r="F257" s="116"/>
      <c r="G257" s="115" t="s">
        <v>36</v>
      </c>
      <c r="H257" s="115"/>
      <c r="I257" s="117" t="s">
        <v>3</v>
      </c>
    </row>
    <row r="258" spans="1:9" ht="15.75" x14ac:dyDescent="0.25">
      <c r="A258" s="118">
        <v>3</v>
      </c>
      <c r="B258" s="118" t="s">
        <v>171</v>
      </c>
      <c r="C258" s="165">
        <f>SUM(I181,I187:I188,I192:I193,I197,I200:I202,I204:I207,I210:I213,I220:I223,I231:I232,I237:I238,I241:I243)</f>
        <v>14120.9288</v>
      </c>
      <c r="D258" s="166"/>
      <c r="E258" s="167"/>
      <c r="F258" s="168">
        <f>SUM(I179:I180,I182,I86,I189,I194:I196,I203,I215:I217,I225:I228,I234:I236,I244:I247,I250,I253)</f>
        <v>9271.3802204000003</v>
      </c>
      <c r="G258" s="169"/>
      <c r="H258" s="170"/>
      <c r="I258" s="21">
        <f>F258+C258</f>
        <v>23392.3090204</v>
      </c>
    </row>
    <row r="260" spans="1:9" ht="18.75" x14ac:dyDescent="0.25">
      <c r="A260" s="93">
        <v>4</v>
      </c>
      <c r="B260" s="94" t="s">
        <v>172</v>
      </c>
      <c r="C260" s="93"/>
      <c r="D260" s="93"/>
      <c r="E260" s="93"/>
      <c r="F260" s="93"/>
      <c r="G260" s="93"/>
      <c r="H260" s="93"/>
      <c r="I260" s="93"/>
    </row>
    <row r="261" spans="1:9" ht="15.75" x14ac:dyDescent="0.25">
      <c r="A261" s="93"/>
      <c r="B261" s="97" t="s">
        <v>173</v>
      </c>
      <c r="C261" s="96"/>
      <c r="D261" s="96"/>
      <c r="E261" s="96"/>
      <c r="F261" s="96"/>
      <c r="G261" s="96"/>
      <c r="H261" s="96"/>
      <c r="I261" s="93"/>
    </row>
    <row r="262" spans="1:9" ht="15.75" x14ac:dyDescent="0.25">
      <c r="A262" s="93"/>
      <c r="B262" s="97" t="s">
        <v>174</v>
      </c>
      <c r="C262" s="96"/>
      <c r="D262" s="96"/>
      <c r="E262" s="96"/>
      <c r="F262" s="96" t="s">
        <v>8</v>
      </c>
      <c r="G262" s="96">
        <v>52.4</v>
      </c>
      <c r="H262" s="97" t="s">
        <v>9</v>
      </c>
      <c r="I262" s="93"/>
    </row>
    <row r="263" spans="1:9" ht="15.75" x14ac:dyDescent="0.25">
      <c r="A263" s="93"/>
      <c r="B263" s="97" t="s">
        <v>175</v>
      </c>
      <c r="C263" s="96"/>
      <c r="D263" s="96"/>
      <c r="E263" s="96"/>
      <c r="F263" s="96"/>
      <c r="G263" s="96"/>
      <c r="H263" s="97"/>
      <c r="I263" s="93"/>
    </row>
    <row r="264" spans="1:9" ht="15.75" x14ac:dyDescent="0.25">
      <c r="A264" s="93"/>
      <c r="B264" s="97" t="s">
        <v>41</v>
      </c>
      <c r="C264" s="96"/>
      <c r="D264" s="96"/>
      <c r="E264" s="96"/>
      <c r="F264" s="96" t="s">
        <v>8</v>
      </c>
      <c r="G264" s="96">
        <v>11</v>
      </c>
      <c r="H264" s="97" t="s">
        <v>9</v>
      </c>
      <c r="I264" s="93"/>
    </row>
    <row r="265" spans="1:9" ht="15.75" x14ac:dyDescent="0.25">
      <c r="A265" s="93"/>
      <c r="B265" s="97" t="s">
        <v>11</v>
      </c>
      <c r="C265" s="96"/>
      <c r="D265" s="96"/>
      <c r="E265" s="96"/>
      <c r="F265" s="96" t="s">
        <v>8</v>
      </c>
      <c r="G265" s="96">
        <v>7850</v>
      </c>
      <c r="H265" s="97" t="s">
        <v>10</v>
      </c>
      <c r="I265" s="93"/>
    </row>
    <row r="266" spans="1:9" ht="15.75" x14ac:dyDescent="0.25">
      <c r="A266" s="93"/>
      <c r="B266" s="97" t="s">
        <v>176</v>
      </c>
      <c r="C266" s="96"/>
      <c r="D266" s="96"/>
      <c r="E266" s="96"/>
      <c r="F266" s="96" t="s">
        <v>8</v>
      </c>
      <c r="G266" s="96">
        <v>3.31</v>
      </c>
      <c r="H266" s="97" t="s">
        <v>13</v>
      </c>
      <c r="I266" s="93"/>
    </row>
    <row r="267" spans="1:9" ht="15.75" x14ac:dyDescent="0.25">
      <c r="A267" s="93"/>
      <c r="B267" s="97" t="s">
        <v>177</v>
      </c>
      <c r="C267" s="96"/>
      <c r="D267" s="96"/>
      <c r="E267" s="96"/>
      <c r="F267" s="96" t="s">
        <v>8</v>
      </c>
      <c r="G267" s="96">
        <v>1.77</v>
      </c>
      <c r="H267" s="97" t="s">
        <v>13</v>
      </c>
      <c r="I267" s="93"/>
    </row>
    <row r="268" spans="1:9" ht="15.75" x14ac:dyDescent="0.25">
      <c r="A268" s="93"/>
      <c r="B268" s="97" t="s">
        <v>178</v>
      </c>
      <c r="C268" s="96"/>
      <c r="D268" s="96"/>
      <c r="E268" s="96"/>
      <c r="F268" s="96" t="s">
        <v>8</v>
      </c>
      <c r="G268" s="96">
        <v>0.6</v>
      </c>
      <c r="H268" s="97" t="s">
        <v>13</v>
      </c>
      <c r="I268" s="93"/>
    </row>
    <row r="269" spans="1:9" ht="15.75" x14ac:dyDescent="0.25">
      <c r="A269" s="93"/>
      <c r="B269" s="97" t="s">
        <v>179</v>
      </c>
      <c r="C269" s="96"/>
      <c r="D269" s="96"/>
      <c r="E269" s="96"/>
      <c r="F269" s="96"/>
      <c r="G269" s="96"/>
      <c r="H269" s="97"/>
      <c r="I269" s="93"/>
    </row>
    <row r="270" spans="1:9" ht="15.75" x14ac:dyDescent="0.25">
      <c r="A270" s="93"/>
      <c r="B270" s="97" t="s">
        <v>40</v>
      </c>
      <c r="C270" s="96"/>
      <c r="D270" s="96"/>
      <c r="E270" s="96"/>
      <c r="F270" s="96" t="s">
        <v>8</v>
      </c>
      <c r="G270" s="96">
        <v>14.9</v>
      </c>
      <c r="H270" s="97" t="s">
        <v>9</v>
      </c>
      <c r="I270" s="96"/>
    </row>
    <row r="271" spans="1:9" ht="15.75" x14ac:dyDescent="0.25">
      <c r="A271" s="93"/>
      <c r="B271" s="97" t="s">
        <v>180</v>
      </c>
      <c r="C271" s="96"/>
      <c r="D271" s="96"/>
      <c r="E271" s="96"/>
      <c r="F271" s="96" t="s">
        <v>8</v>
      </c>
      <c r="G271" s="96">
        <v>22.3</v>
      </c>
      <c r="H271" s="97" t="s">
        <v>9</v>
      </c>
      <c r="I271" s="96"/>
    </row>
    <row r="272" spans="1:9" ht="15.75" x14ac:dyDescent="0.25">
      <c r="A272" s="93"/>
      <c r="B272" s="97" t="s">
        <v>41</v>
      </c>
      <c r="C272" s="96"/>
      <c r="D272" s="96"/>
      <c r="E272" s="96"/>
      <c r="F272" s="96" t="s">
        <v>8</v>
      </c>
      <c r="G272" s="96">
        <v>11</v>
      </c>
      <c r="H272" s="97" t="s">
        <v>9</v>
      </c>
    </row>
    <row r="273" spans="1:19" ht="15.75" x14ac:dyDescent="0.25">
      <c r="A273" s="93"/>
      <c r="B273" s="97" t="s">
        <v>186</v>
      </c>
      <c r="C273" s="96"/>
      <c r="D273" s="96"/>
      <c r="E273" s="96"/>
      <c r="F273" s="96"/>
      <c r="G273" s="96"/>
      <c r="H273" s="97"/>
      <c r="I273" s="96"/>
    </row>
    <row r="274" spans="1:19" ht="15.75" x14ac:dyDescent="0.25">
      <c r="A274" s="93"/>
      <c r="B274" s="97" t="s">
        <v>40</v>
      </c>
      <c r="C274" s="96"/>
      <c r="D274" s="96"/>
      <c r="E274" s="96"/>
      <c r="F274" s="96" t="s">
        <v>8</v>
      </c>
      <c r="G274" s="96">
        <v>14.9</v>
      </c>
      <c r="H274" s="97" t="s">
        <v>9</v>
      </c>
      <c r="I274" s="96"/>
    </row>
    <row r="275" spans="1:19" ht="15.75" x14ac:dyDescent="0.25">
      <c r="A275" s="93"/>
      <c r="B275" s="97" t="s">
        <v>162</v>
      </c>
      <c r="C275" s="96"/>
      <c r="D275" s="96"/>
      <c r="E275" s="96"/>
      <c r="F275" s="96"/>
      <c r="G275" s="96"/>
      <c r="H275" s="97"/>
      <c r="I275" s="96"/>
    </row>
    <row r="276" spans="1:19" ht="15.75" x14ac:dyDescent="0.25">
      <c r="B276" s="97" t="s">
        <v>26</v>
      </c>
      <c r="C276" s="96"/>
      <c r="D276" s="96"/>
      <c r="E276" s="96"/>
      <c r="F276" s="96" t="s">
        <v>8</v>
      </c>
      <c r="G276" s="96">
        <v>7.7</v>
      </c>
      <c r="H276" s="97" t="s">
        <v>9</v>
      </c>
    </row>
    <row r="277" spans="1:19" ht="15.75" x14ac:dyDescent="0.25">
      <c r="A277" s="98"/>
      <c r="C277" s="96"/>
      <c r="D277" s="96"/>
      <c r="E277" s="96"/>
      <c r="F277" s="96"/>
      <c r="G277" s="96"/>
      <c r="H277" s="97"/>
    </row>
    <row r="278" spans="1:19" ht="15.75" x14ac:dyDescent="0.25">
      <c r="A278" s="98" t="s">
        <v>23</v>
      </c>
    </row>
    <row r="279" spans="1:19" ht="15.75" x14ac:dyDescent="0.25">
      <c r="A279" s="99" t="s">
        <v>2</v>
      </c>
      <c r="B279" s="99" t="s">
        <v>0</v>
      </c>
      <c r="C279" s="99" t="s">
        <v>1</v>
      </c>
      <c r="D279" s="99" t="s">
        <v>21</v>
      </c>
      <c r="E279" s="99" t="s">
        <v>15</v>
      </c>
      <c r="F279" s="99" t="s">
        <v>16</v>
      </c>
      <c r="G279" s="99" t="s">
        <v>18</v>
      </c>
      <c r="H279" s="99" t="s">
        <v>17</v>
      </c>
      <c r="I279" s="99" t="s">
        <v>6</v>
      </c>
    </row>
    <row r="280" spans="1:19" ht="15.75" x14ac:dyDescent="0.25">
      <c r="A280" s="100">
        <v>1</v>
      </c>
      <c r="B280" s="101" t="s">
        <v>172</v>
      </c>
      <c r="C280" s="99"/>
      <c r="D280" s="99"/>
      <c r="E280" s="99"/>
      <c r="F280" s="99"/>
      <c r="G280" s="99"/>
      <c r="H280" s="99"/>
      <c r="I280" s="99"/>
    </row>
    <row r="281" spans="1:19" x14ac:dyDescent="0.25">
      <c r="A281" s="102"/>
      <c r="B281" s="103" t="s">
        <v>182</v>
      </c>
      <c r="C281" s="104" t="s">
        <v>5</v>
      </c>
      <c r="D281" s="104">
        <v>2</v>
      </c>
      <c r="E281" s="105">
        <f>G266</f>
        <v>3.31</v>
      </c>
      <c r="F281" s="104" t="s">
        <v>22</v>
      </c>
      <c r="G281" s="104" t="s">
        <v>22</v>
      </c>
      <c r="H281" s="104" t="s">
        <v>22</v>
      </c>
      <c r="I281" s="108">
        <f>(D281*E281*G264)</f>
        <v>72.820000000000007</v>
      </c>
      <c r="O281" s="107">
        <f>26*I281</f>
        <v>1893.3200000000002</v>
      </c>
    </row>
    <row r="282" spans="1:19" x14ac:dyDescent="0.25">
      <c r="A282" s="104"/>
      <c r="B282" s="103" t="s">
        <v>183</v>
      </c>
      <c r="C282" s="104" t="s">
        <v>5</v>
      </c>
      <c r="D282" s="104">
        <v>4</v>
      </c>
      <c r="E282" s="105">
        <f>G267</f>
        <v>1.77</v>
      </c>
      <c r="F282" s="104" t="s">
        <v>22</v>
      </c>
      <c r="G282" s="104" t="s">
        <v>22</v>
      </c>
      <c r="H282" s="104" t="s">
        <v>22</v>
      </c>
      <c r="I282" s="108">
        <f>(D282*E282*G264)</f>
        <v>77.88</v>
      </c>
      <c r="O282" s="107">
        <f>26*I282</f>
        <v>2024.8799999999999</v>
      </c>
    </row>
    <row r="283" spans="1:19" x14ac:dyDescent="0.25">
      <c r="A283" s="104"/>
      <c r="B283" s="103" t="s">
        <v>184</v>
      </c>
      <c r="C283" s="104" t="s">
        <v>5</v>
      </c>
      <c r="D283" s="104">
        <v>1</v>
      </c>
      <c r="E283" s="105">
        <f>G268</f>
        <v>0.6</v>
      </c>
      <c r="F283" s="104" t="s">
        <v>22</v>
      </c>
      <c r="G283" s="104" t="s">
        <v>22</v>
      </c>
      <c r="H283" s="104" t="s">
        <v>22</v>
      </c>
      <c r="I283" s="108">
        <f>(D283*E283*G264)</f>
        <v>6.6</v>
      </c>
      <c r="O283" s="107">
        <f>26*I283</f>
        <v>171.6</v>
      </c>
    </row>
    <row r="284" spans="1:19" x14ac:dyDescent="0.25">
      <c r="A284" s="104"/>
      <c r="B284" s="103" t="s">
        <v>185</v>
      </c>
      <c r="C284" s="104" t="s">
        <v>5</v>
      </c>
      <c r="D284" s="104">
        <v>4</v>
      </c>
      <c r="E284" s="105">
        <v>0.32</v>
      </c>
      <c r="F284" s="104" t="s">
        <v>22</v>
      </c>
      <c r="G284" s="104" t="s">
        <v>22</v>
      </c>
      <c r="H284" s="104" t="s">
        <v>22</v>
      </c>
      <c r="I284" s="108">
        <f>(D284*E284*G274)</f>
        <v>19.071999999999999</v>
      </c>
      <c r="N284" s="90">
        <f>I284*26</f>
        <v>495.87199999999996</v>
      </c>
      <c r="O284" s="107"/>
    </row>
    <row r="285" spans="1:19" ht="15.75" x14ac:dyDescent="0.25">
      <c r="A285" s="104"/>
      <c r="B285" s="111" t="s">
        <v>27</v>
      </c>
      <c r="C285" s="104"/>
      <c r="D285" s="104"/>
      <c r="E285" s="105"/>
      <c r="F285" s="104"/>
      <c r="G285" s="104"/>
      <c r="H285" s="104"/>
      <c r="I285" s="110"/>
      <c r="O285" s="107"/>
    </row>
    <row r="286" spans="1:19" x14ac:dyDescent="0.25">
      <c r="A286" s="104"/>
      <c r="B286" s="103" t="s">
        <v>28</v>
      </c>
      <c r="C286" s="104" t="s">
        <v>5</v>
      </c>
      <c r="D286" s="104">
        <v>2</v>
      </c>
      <c r="E286" s="105">
        <v>0.26400000000000001</v>
      </c>
      <c r="F286" s="104">
        <v>0.312</v>
      </c>
      <c r="G286" s="104">
        <v>0.01</v>
      </c>
      <c r="H286" s="104" t="s">
        <v>22</v>
      </c>
      <c r="I286" s="106">
        <f>(D286*E286*F286*G286)*7850</f>
        <v>12.931776000000003</v>
      </c>
      <c r="S286" s="107">
        <f>I286*26</f>
        <v>336.22617600000007</v>
      </c>
    </row>
    <row r="287" spans="1:19" x14ac:dyDescent="0.25">
      <c r="A287" s="104"/>
      <c r="B287" s="103" t="s">
        <v>29</v>
      </c>
      <c r="C287" s="104" t="s">
        <v>5</v>
      </c>
      <c r="D287" s="104">
        <v>1</v>
      </c>
      <c r="E287" s="105">
        <v>0.2</v>
      </c>
      <c r="F287" s="104">
        <v>0.22500000000000001</v>
      </c>
      <c r="G287" s="104">
        <v>0.01</v>
      </c>
      <c r="H287" s="104" t="s">
        <v>22</v>
      </c>
      <c r="I287" s="106">
        <f>(D287*E287*F287*G287)*7850</f>
        <v>3.5325000000000002</v>
      </c>
      <c r="S287" s="107">
        <f>I287*26</f>
        <v>91.844999999999999</v>
      </c>
    </row>
    <row r="288" spans="1:19" x14ac:dyDescent="0.25">
      <c r="A288" s="104"/>
      <c r="B288" s="103" t="s">
        <v>30</v>
      </c>
      <c r="C288" s="104" t="s">
        <v>5</v>
      </c>
      <c r="D288" s="104">
        <v>1</v>
      </c>
      <c r="E288" s="105">
        <v>0.3</v>
      </c>
      <c r="F288" s="104">
        <v>0.25600000000000001</v>
      </c>
      <c r="G288" s="104">
        <v>0.01</v>
      </c>
      <c r="H288" s="104" t="s">
        <v>22</v>
      </c>
      <c r="I288" s="106">
        <f>(D288*E288*F288*G288)*7850</f>
        <v>6.0287999999999995</v>
      </c>
      <c r="S288" s="107">
        <f>I288*26</f>
        <v>156.74879999999999</v>
      </c>
    </row>
    <row r="289" spans="1:27" x14ac:dyDescent="0.25">
      <c r="A289" s="104"/>
      <c r="B289" s="103" t="s">
        <v>191</v>
      </c>
      <c r="C289" s="104" t="s">
        <v>5</v>
      </c>
      <c r="D289" s="104">
        <v>2</v>
      </c>
      <c r="E289" s="105">
        <v>0.31</v>
      </c>
      <c r="F289" s="104">
        <v>0.15</v>
      </c>
      <c r="G289" s="104">
        <v>0.01</v>
      </c>
      <c r="H289" s="104" t="s">
        <v>22</v>
      </c>
      <c r="I289" s="106">
        <f>(D289*E289*F289*G289)*7850</f>
        <v>7.3005000000000004</v>
      </c>
      <c r="S289" s="107">
        <f>I289*26</f>
        <v>189.81300000000002</v>
      </c>
    </row>
    <row r="290" spans="1:27" x14ac:dyDescent="0.25">
      <c r="A290" s="104"/>
      <c r="B290" s="103"/>
      <c r="C290" s="104"/>
      <c r="D290" s="104"/>
      <c r="E290" s="105"/>
      <c r="F290" s="104"/>
      <c r="G290" s="104"/>
      <c r="H290" s="104"/>
      <c r="AA290" s="107">
        <f>SUM(S286:S289)</f>
        <v>774.63297599999999</v>
      </c>
    </row>
    <row r="291" spans="1:27" x14ac:dyDescent="0.25">
      <c r="B291" s="122" t="s">
        <v>187</v>
      </c>
      <c r="C291" s="123" t="s">
        <v>8</v>
      </c>
      <c r="D291" s="123">
        <v>10</v>
      </c>
      <c r="E291" s="124"/>
      <c r="F291" s="124"/>
      <c r="G291" s="124"/>
      <c r="H291" s="124"/>
      <c r="I291" s="21"/>
    </row>
    <row r="292" spans="1:27" x14ac:dyDescent="0.25">
      <c r="A292" s="104"/>
      <c r="B292" s="122" t="s">
        <v>188</v>
      </c>
      <c r="C292" s="123" t="s">
        <v>8</v>
      </c>
      <c r="D292" s="123">
        <f>8*2</f>
        <v>16</v>
      </c>
      <c r="E292" s="105"/>
      <c r="F292" s="104"/>
      <c r="G292" s="104"/>
      <c r="H292" s="104"/>
      <c r="I292" s="124"/>
    </row>
    <row r="293" spans="1:27" x14ac:dyDescent="0.25">
      <c r="A293" s="104"/>
      <c r="B293" s="103" t="s">
        <v>189</v>
      </c>
      <c r="C293" s="123" t="s">
        <v>8</v>
      </c>
      <c r="D293" s="125">
        <f>D291+D292</f>
        <v>26</v>
      </c>
      <c r="E293" s="105"/>
      <c r="F293" s="104"/>
      <c r="G293" s="104"/>
      <c r="H293" s="104"/>
      <c r="I293" s="124"/>
    </row>
    <row r="294" spans="1:27" x14ac:dyDescent="0.25">
      <c r="A294" s="104"/>
      <c r="B294" s="103"/>
      <c r="C294" s="123"/>
      <c r="D294" s="125"/>
      <c r="E294" s="105"/>
      <c r="F294" s="104"/>
      <c r="G294" s="104"/>
      <c r="H294" s="104"/>
      <c r="I294" s="124"/>
    </row>
    <row r="295" spans="1:27" ht="15.75" x14ac:dyDescent="0.25">
      <c r="A295" s="114" t="s">
        <v>190</v>
      </c>
    </row>
    <row r="297" spans="1:27" ht="15.75" x14ac:dyDescent="0.25">
      <c r="A297" s="115" t="s">
        <v>2</v>
      </c>
      <c r="B297" s="115" t="s">
        <v>34</v>
      </c>
      <c r="C297" s="171" t="s">
        <v>35</v>
      </c>
      <c r="D297" s="172"/>
      <c r="E297" s="173"/>
      <c r="F297" s="116"/>
      <c r="G297" s="115" t="s">
        <v>36</v>
      </c>
      <c r="H297" s="115"/>
      <c r="I297" s="117" t="s">
        <v>3</v>
      </c>
    </row>
    <row r="298" spans="1:27" ht="15.75" x14ac:dyDescent="0.25">
      <c r="A298" s="118">
        <v>4</v>
      </c>
      <c r="B298" s="118" t="s">
        <v>37</v>
      </c>
      <c r="C298" s="165">
        <f>26*(SUM(I281:I284))</f>
        <v>4585.6719999999996</v>
      </c>
      <c r="D298" s="166"/>
      <c r="E298" s="167"/>
      <c r="F298" s="168">
        <f>D293*(SUM(I286:I289))</f>
        <v>774.6329760000001</v>
      </c>
      <c r="G298" s="169"/>
      <c r="H298" s="170"/>
      <c r="I298" s="21">
        <f>F298+C298</f>
        <v>5360.3049759999994</v>
      </c>
    </row>
    <row r="299" spans="1:27" ht="15.75" x14ac:dyDescent="0.25">
      <c r="A299" s="118"/>
      <c r="B299" s="118"/>
      <c r="I299" s="21"/>
    </row>
    <row r="300" spans="1:27" ht="15.75" x14ac:dyDescent="0.25">
      <c r="A300" s="104">
        <v>2</v>
      </c>
      <c r="B300" s="112" t="s">
        <v>192</v>
      </c>
      <c r="C300" s="104"/>
      <c r="D300" s="104"/>
      <c r="E300" s="105"/>
      <c r="F300" s="104"/>
      <c r="G300" s="104"/>
      <c r="H300" s="104"/>
      <c r="I300" s="110"/>
    </row>
    <row r="301" spans="1:27" x14ac:dyDescent="0.25">
      <c r="A301" s="104"/>
      <c r="B301" s="103" t="s">
        <v>193</v>
      </c>
      <c r="C301" s="104" t="s">
        <v>5</v>
      </c>
      <c r="D301" s="104">
        <v>4</v>
      </c>
      <c r="E301" s="105">
        <f>34.01+6.6</f>
        <v>40.61</v>
      </c>
      <c r="F301" s="104" t="s">
        <v>22</v>
      </c>
      <c r="G301" s="104" t="s">
        <v>22</v>
      </c>
      <c r="H301" s="104" t="s">
        <v>22</v>
      </c>
      <c r="I301" s="108">
        <f>(D301*E301*G274)</f>
        <v>2420.3560000000002</v>
      </c>
      <c r="N301" s="107">
        <f>I301</f>
        <v>2420.3560000000002</v>
      </c>
    </row>
    <row r="302" spans="1:27" x14ac:dyDescent="0.25">
      <c r="A302" s="104"/>
      <c r="B302" s="103" t="s">
        <v>194</v>
      </c>
      <c r="C302" s="104" t="s">
        <v>5</v>
      </c>
      <c r="D302" s="104">
        <f>4*2</f>
        <v>8</v>
      </c>
      <c r="E302" s="105">
        <v>19</v>
      </c>
      <c r="F302" s="104" t="s">
        <v>22</v>
      </c>
      <c r="G302" s="104" t="s">
        <v>22</v>
      </c>
      <c r="H302" s="104" t="s">
        <v>22</v>
      </c>
      <c r="I302" s="108">
        <f>(D302*E302*G274)</f>
        <v>2264.8000000000002</v>
      </c>
      <c r="N302" s="107">
        <f>I302</f>
        <v>2264.8000000000002</v>
      </c>
    </row>
    <row r="303" spans="1:27" x14ac:dyDescent="0.25">
      <c r="A303" s="104"/>
      <c r="B303" s="103"/>
      <c r="C303" s="104"/>
      <c r="D303" s="104"/>
      <c r="E303" s="105"/>
      <c r="F303" s="104"/>
      <c r="G303" s="104"/>
      <c r="H303" s="104"/>
      <c r="I303" s="110"/>
    </row>
    <row r="304" spans="1:27" ht="15.75" x14ac:dyDescent="0.25">
      <c r="A304" s="104">
        <v>3</v>
      </c>
      <c r="B304" s="112" t="s">
        <v>195</v>
      </c>
      <c r="C304" s="104"/>
      <c r="D304" s="104"/>
      <c r="E304" s="105"/>
      <c r="F304" s="104"/>
      <c r="G304" s="104"/>
      <c r="H304" s="104"/>
      <c r="I304" s="110"/>
    </row>
    <row r="305" spans="1:27" x14ac:dyDescent="0.25">
      <c r="A305" s="104"/>
      <c r="B305" s="103" t="s">
        <v>182</v>
      </c>
      <c r="C305" s="104" t="s">
        <v>5</v>
      </c>
      <c r="D305" s="104">
        <f>2*4</f>
        <v>8</v>
      </c>
      <c r="E305" s="105">
        <v>2.35</v>
      </c>
      <c r="F305" s="104" t="s">
        <v>22</v>
      </c>
      <c r="G305" s="104" t="s">
        <v>22</v>
      </c>
      <c r="H305" s="104" t="s">
        <v>22</v>
      </c>
      <c r="I305" s="108">
        <f>(D305*E305*G264)</f>
        <v>206.8</v>
      </c>
      <c r="O305" s="107">
        <f>I305</f>
        <v>206.8</v>
      </c>
    </row>
    <row r="306" spans="1:27" x14ac:dyDescent="0.25">
      <c r="A306" s="104"/>
      <c r="B306" s="103" t="s">
        <v>183</v>
      </c>
      <c r="C306" s="104" t="s">
        <v>5</v>
      </c>
      <c r="D306" s="104">
        <v>4</v>
      </c>
      <c r="E306" s="105">
        <v>4.5</v>
      </c>
      <c r="F306" s="104" t="s">
        <v>22</v>
      </c>
      <c r="G306" s="104" t="s">
        <v>22</v>
      </c>
      <c r="H306" s="104" t="s">
        <v>22</v>
      </c>
      <c r="I306" s="108">
        <f>(D306*E306*G264)</f>
        <v>198</v>
      </c>
      <c r="O306" s="107">
        <f>I306</f>
        <v>198</v>
      </c>
    </row>
    <row r="307" spans="1:27" x14ac:dyDescent="0.25">
      <c r="A307" s="104"/>
      <c r="B307" s="103" t="s">
        <v>184</v>
      </c>
      <c r="C307" s="104" t="s">
        <v>5</v>
      </c>
      <c r="D307" s="104">
        <v>2</v>
      </c>
      <c r="E307" s="105">
        <v>0.6</v>
      </c>
      <c r="F307" s="104" t="s">
        <v>22</v>
      </c>
      <c r="G307" s="104" t="s">
        <v>22</v>
      </c>
      <c r="H307" s="104" t="s">
        <v>22</v>
      </c>
      <c r="I307" s="108">
        <f>(D307*E307*G264)</f>
        <v>13.2</v>
      </c>
      <c r="O307" s="107">
        <f>I307</f>
        <v>13.2</v>
      </c>
    </row>
    <row r="308" spans="1:27" x14ac:dyDescent="0.25">
      <c r="A308" s="104"/>
      <c r="B308" s="103" t="s">
        <v>196</v>
      </c>
      <c r="C308" s="104" t="s">
        <v>5</v>
      </c>
      <c r="D308" s="104">
        <v>4</v>
      </c>
      <c r="E308" s="105">
        <v>2.4</v>
      </c>
      <c r="F308" s="104" t="s">
        <v>22</v>
      </c>
      <c r="G308" s="104" t="s">
        <v>22</v>
      </c>
      <c r="H308" s="104" t="s">
        <v>22</v>
      </c>
      <c r="I308" s="108">
        <f>(D308*E308*G264)</f>
        <v>105.6</v>
      </c>
      <c r="O308" s="107">
        <f>I308</f>
        <v>105.6</v>
      </c>
    </row>
    <row r="309" spans="1:27" x14ac:dyDescent="0.25">
      <c r="A309" s="104"/>
      <c r="B309" s="103" t="s">
        <v>197</v>
      </c>
      <c r="C309" s="104" t="s">
        <v>5</v>
      </c>
      <c r="D309" s="104">
        <v>4</v>
      </c>
      <c r="E309" s="105">
        <v>2.9</v>
      </c>
      <c r="F309" s="104" t="s">
        <v>22</v>
      </c>
      <c r="G309" s="104" t="s">
        <v>22</v>
      </c>
      <c r="H309" s="104" t="s">
        <v>22</v>
      </c>
      <c r="I309" s="108">
        <f>(D309*E309*G264)</f>
        <v>127.6</v>
      </c>
      <c r="O309" s="107">
        <f>I309</f>
        <v>127.6</v>
      </c>
    </row>
    <row r="310" spans="1:27" ht="15.75" x14ac:dyDescent="0.25">
      <c r="A310" s="104"/>
      <c r="B310" s="111" t="s">
        <v>27</v>
      </c>
      <c r="C310" s="104"/>
      <c r="D310" s="104"/>
      <c r="E310" s="105"/>
      <c r="F310" s="104"/>
      <c r="G310" s="104"/>
      <c r="H310" s="104"/>
      <c r="I310" s="110"/>
    </row>
    <row r="311" spans="1:27" x14ac:dyDescent="0.25">
      <c r="A311" s="104"/>
      <c r="B311" s="103" t="s">
        <v>28</v>
      </c>
      <c r="C311" s="104" t="s">
        <v>5</v>
      </c>
      <c r="D311" s="104">
        <f>2*2</f>
        <v>4</v>
      </c>
      <c r="E311" s="105">
        <v>0.25600000000000001</v>
      </c>
      <c r="F311" s="104">
        <v>0.3</v>
      </c>
      <c r="G311" s="104">
        <v>0.01</v>
      </c>
      <c r="H311" s="104" t="s">
        <v>22</v>
      </c>
      <c r="I311" s="106">
        <f>(D311*E311*F311*G311)*7850</f>
        <v>24.115199999999998</v>
      </c>
    </row>
    <row r="312" spans="1:27" x14ac:dyDescent="0.25">
      <c r="A312" s="104"/>
      <c r="B312" s="103" t="s">
        <v>29</v>
      </c>
      <c r="C312" s="104" t="s">
        <v>5</v>
      </c>
      <c r="D312" s="104">
        <f>2*2</f>
        <v>4</v>
      </c>
      <c r="E312" s="105">
        <v>0.22500000000000001</v>
      </c>
      <c r="F312" s="104">
        <v>0.2</v>
      </c>
      <c r="G312" s="104">
        <v>0.01</v>
      </c>
      <c r="H312" s="104" t="s">
        <v>22</v>
      </c>
      <c r="I312" s="106">
        <f>(D312*E312*F312*G312)*7850</f>
        <v>14.13</v>
      </c>
      <c r="S312" s="107">
        <f>I311</f>
        <v>24.115199999999998</v>
      </c>
    </row>
    <row r="313" spans="1:27" x14ac:dyDescent="0.25">
      <c r="A313" s="104"/>
      <c r="B313" s="103" t="s">
        <v>30</v>
      </c>
      <c r="C313" s="104" t="s">
        <v>5</v>
      </c>
      <c r="D313" s="104">
        <f>2*4</f>
        <v>8</v>
      </c>
      <c r="E313" s="105">
        <v>0.3</v>
      </c>
      <c r="F313" s="104">
        <v>0.22500000000000001</v>
      </c>
      <c r="G313" s="104">
        <v>0.01</v>
      </c>
      <c r="H313" s="104" t="s">
        <v>22</v>
      </c>
      <c r="I313" s="106">
        <f>(D313*E313*F313*G313)*7850</f>
        <v>42.39</v>
      </c>
      <c r="S313" s="107">
        <f>I312</f>
        <v>14.13</v>
      </c>
      <c r="AA313" s="107">
        <f>SUM(S312:S315)</f>
        <v>345.14880000000005</v>
      </c>
    </row>
    <row r="314" spans="1:27" x14ac:dyDescent="0.25">
      <c r="A314" s="104"/>
      <c r="B314" s="103" t="s">
        <v>198</v>
      </c>
      <c r="C314" s="104" t="s">
        <v>5</v>
      </c>
      <c r="D314" s="104">
        <f>2*4</f>
        <v>8</v>
      </c>
      <c r="E314" s="105">
        <v>0.78</v>
      </c>
      <c r="F314" s="104">
        <v>0.54</v>
      </c>
      <c r="G314" s="104">
        <v>0.01</v>
      </c>
      <c r="H314" s="104" t="s">
        <v>22</v>
      </c>
      <c r="I314" s="106">
        <f>(D314*E314*F314*G314)*7850</f>
        <v>264.51360000000005</v>
      </c>
      <c r="K314" s="107"/>
      <c r="S314" s="107">
        <f>I313</f>
        <v>42.39</v>
      </c>
      <c r="AA314" s="107">
        <f>SUM(AA313,AA290)</f>
        <v>1119.781776</v>
      </c>
    </row>
    <row r="315" spans="1:27" x14ac:dyDescent="0.25">
      <c r="A315" s="104"/>
      <c r="B315" s="103" t="s">
        <v>199</v>
      </c>
      <c r="C315" s="104" t="s">
        <v>5</v>
      </c>
      <c r="D315" s="104">
        <f>2*8</f>
        <v>16</v>
      </c>
      <c r="E315" s="105">
        <v>0.2</v>
      </c>
      <c r="F315" s="104" t="s">
        <v>22</v>
      </c>
      <c r="G315" s="104" t="s">
        <v>22</v>
      </c>
      <c r="H315" s="104" t="s">
        <v>22</v>
      </c>
      <c r="I315" s="108">
        <f>(D315*E315*G274)</f>
        <v>47.680000000000007</v>
      </c>
      <c r="K315" s="107"/>
      <c r="N315" s="107">
        <f>I315</f>
        <v>47.680000000000007</v>
      </c>
      <c r="S315" s="107">
        <f>I314</f>
        <v>264.51360000000005</v>
      </c>
    </row>
    <row r="316" spans="1:27" x14ac:dyDescent="0.25">
      <c r="I316" s="107"/>
      <c r="K316" s="126"/>
    </row>
    <row r="317" spans="1:27" ht="15.75" x14ac:dyDescent="0.25">
      <c r="A317" s="114" t="s">
        <v>200</v>
      </c>
    </row>
    <row r="319" spans="1:27" ht="15.75" x14ac:dyDescent="0.25">
      <c r="A319" s="115" t="s">
        <v>2</v>
      </c>
      <c r="B319" s="115" t="s">
        <v>34</v>
      </c>
      <c r="C319" s="171" t="s">
        <v>35</v>
      </c>
      <c r="D319" s="172"/>
      <c r="E319" s="173"/>
      <c r="F319" s="116"/>
      <c r="G319" s="115" t="s">
        <v>36</v>
      </c>
      <c r="H319" s="115"/>
      <c r="I319" s="117" t="s">
        <v>3</v>
      </c>
    </row>
    <row r="320" spans="1:27" ht="15.75" x14ac:dyDescent="0.25">
      <c r="A320" s="118">
        <v>4</v>
      </c>
      <c r="B320" s="118" t="s">
        <v>181</v>
      </c>
      <c r="C320" s="165">
        <f>SUM(C298,I301:I309,I315)</f>
        <v>9969.7080000000024</v>
      </c>
      <c r="D320" s="166"/>
      <c r="E320" s="167"/>
      <c r="F320" s="168">
        <f>SUM(F298,I311:I314)</f>
        <v>1119.781776</v>
      </c>
      <c r="G320" s="169"/>
      <c r="H320" s="170"/>
      <c r="I320" s="21">
        <f>F320+C320</f>
        <v>11089.489776000002</v>
      </c>
    </row>
    <row r="322" spans="1:18" ht="18.75" x14ac:dyDescent="0.25">
      <c r="A322" s="93">
        <v>5</v>
      </c>
      <c r="B322" s="94" t="s">
        <v>201</v>
      </c>
      <c r="C322" s="93"/>
      <c r="D322" s="93"/>
      <c r="E322" s="93"/>
      <c r="F322" s="93"/>
      <c r="G322" s="93"/>
      <c r="H322" s="93"/>
      <c r="I322" s="93"/>
    </row>
    <row r="323" spans="1:18" ht="15.75" x14ac:dyDescent="0.25">
      <c r="A323" s="93"/>
      <c r="B323" s="97" t="s">
        <v>202</v>
      </c>
      <c r="C323" s="96"/>
      <c r="D323" s="96"/>
      <c r="E323" s="96"/>
      <c r="F323" s="96"/>
      <c r="G323" s="96"/>
      <c r="H323" s="96"/>
      <c r="I323" s="93"/>
    </row>
    <row r="324" spans="1:18" ht="15.75" x14ac:dyDescent="0.25">
      <c r="A324" s="93"/>
      <c r="B324" s="97" t="s">
        <v>80</v>
      </c>
      <c r="C324" s="96"/>
      <c r="D324" s="96"/>
      <c r="E324" s="96"/>
      <c r="F324" s="96" t="s">
        <v>8</v>
      </c>
      <c r="G324" s="96">
        <v>60</v>
      </c>
      <c r="H324" s="97" t="s">
        <v>9</v>
      </c>
      <c r="I324" s="93"/>
    </row>
    <row r="325" spans="1:18" ht="15.75" x14ac:dyDescent="0.25">
      <c r="A325" s="93"/>
      <c r="B325" s="97" t="s">
        <v>203</v>
      </c>
      <c r="C325" s="96"/>
      <c r="D325" s="96"/>
      <c r="E325" s="96"/>
      <c r="F325" s="96"/>
      <c r="G325" s="96"/>
      <c r="H325" s="97"/>
      <c r="I325" s="93"/>
    </row>
    <row r="326" spans="1:18" ht="15.75" x14ac:dyDescent="0.25">
      <c r="A326" s="93"/>
      <c r="B326" s="97" t="s">
        <v>204</v>
      </c>
      <c r="C326" s="96"/>
      <c r="D326" s="96"/>
      <c r="E326" s="96"/>
      <c r="F326" s="96"/>
      <c r="G326" s="96"/>
      <c r="H326" s="97"/>
      <c r="I326" s="93"/>
    </row>
    <row r="327" spans="1:18" ht="15.75" x14ac:dyDescent="0.25">
      <c r="A327" s="93"/>
      <c r="B327" s="97" t="s">
        <v>41</v>
      </c>
      <c r="C327" s="96"/>
      <c r="D327" s="96"/>
      <c r="E327" s="96"/>
      <c r="F327" s="96" t="s">
        <v>8</v>
      </c>
      <c r="G327" s="96">
        <v>11</v>
      </c>
      <c r="H327" s="97" t="s">
        <v>9</v>
      </c>
      <c r="I327" s="93"/>
    </row>
    <row r="328" spans="1:18" ht="15.75" x14ac:dyDescent="0.25">
      <c r="A328" s="93"/>
      <c r="B328" s="97" t="s">
        <v>11</v>
      </c>
      <c r="C328" s="96"/>
      <c r="D328" s="96"/>
      <c r="E328" s="96"/>
      <c r="F328" s="96" t="s">
        <v>8</v>
      </c>
      <c r="G328" s="96">
        <v>7850</v>
      </c>
      <c r="H328" s="97" t="s">
        <v>10</v>
      </c>
      <c r="I328" s="93"/>
    </row>
    <row r="329" spans="1:18" ht="15.75" x14ac:dyDescent="0.25">
      <c r="A329" s="93"/>
      <c r="B329" s="97" t="s">
        <v>205</v>
      </c>
      <c r="C329" s="96"/>
      <c r="D329" s="96"/>
      <c r="E329" s="96"/>
      <c r="F329" s="96" t="s">
        <v>8</v>
      </c>
      <c r="G329" s="96">
        <v>3.31</v>
      </c>
      <c r="H329" s="97" t="s">
        <v>13</v>
      </c>
      <c r="I329" s="93"/>
    </row>
    <row r="330" spans="1:18" ht="15.75" x14ac:dyDescent="0.25">
      <c r="A330" s="98"/>
      <c r="C330" s="96"/>
      <c r="D330" s="96"/>
      <c r="E330" s="96"/>
      <c r="F330" s="96"/>
      <c r="G330" s="96"/>
      <c r="H330" s="97"/>
    </row>
    <row r="331" spans="1:18" ht="15.75" x14ac:dyDescent="0.25">
      <c r="A331" s="98" t="s">
        <v>23</v>
      </c>
    </row>
    <row r="332" spans="1:18" ht="15.75" x14ac:dyDescent="0.25">
      <c r="A332" s="99" t="s">
        <v>2</v>
      </c>
      <c r="B332" s="99" t="s">
        <v>0</v>
      </c>
      <c r="C332" s="99" t="s">
        <v>1</v>
      </c>
      <c r="D332" s="99" t="s">
        <v>21</v>
      </c>
      <c r="E332" s="99" t="s">
        <v>15</v>
      </c>
      <c r="F332" s="99" t="s">
        <v>16</v>
      </c>
      <c r="G332" s="99" t="s">
        <v>18</v>
      </c>
      <c r="H332" s="99" t="s">
        <v>17</v>
      </c>
      <c r="I332" s="99" t="s">
        <v>6</v>
      </c>
    </row>
    <row r="333" spans="1:18" ht="15.75" x14ac:dyDescent="0.25">
      <c r="A333" s="100">
        <v>1</v>
      </c>
      <c r="B333" s="101" t="s">
        <v>206</v>
      </c>
      <c r="C333" s="99"/>
      <c r="D333" s="99"/>
      <c r="E333" s="99"/>
      <c r="F333" s="99"/>
      <c r="G333" s="99"/>
      <c r="H333" s="99"/>
      <c r="I333" s="99"/>
    </row>
    <row r="334" spans="1:18" x14ac:dyDescent="0.25">
      <c r="A334" s="102"/>
      <c r="B334" s="103" t="s">
        <v>207</v>
      </c>
      <c r="C334" s="104" t="s">
        <v>5</v>
      </c>
      <c r="D334" s="104">
        <v>16</v>
      </c>
      <c r="E334" s="105">
        <v>1</v>
      </c>
      <c r="F334" s="104" t="s">
        <v>22</v>
      </c>
      <c r="G334" s="104" t="s">
        <v>22</v>
      </c>
      <c r="H334" s="104" t="s">
        <v>22</v>
      </c>
      <c r="I334" s="108">
        <f>(D334*E334*G324)</f>
        <v>960</v>
      </c>
      <c r="K334" s="107">
        <f>I334</f>
        <v>960</v>
      </c>
    </row>
    <row r="335" spans="1:18" x14ac:dyDescent="0.25">
      <c r="A335" s="104"/>
      <c r="B335" s="103" t="s">
        <v>208</v>
      </c>
      <c r="C335" s="104" t="s">
        <v>5</v>
      </c>
      <c r="D335" s="104">
        <v>16</v>
      </c>
      <c r="E335" s="105">
        <v>1</v>
      </c>
      <c r="F335" s="105">
        <v>0.18</v>
      </c>
      <c r="G335" s="104">
        <v>0.02</v>
      </c>
      <c r="H335" s="104" t="s">
        <v>22</v>
      </c>
      <c r="I335" s="106">
        <f>(D335*E335*F335*G335)*7850</f>
        <v>452.15999999999997</v>
      </c>
      <c r="R335" s="107">
        <f>I335</f>
        <v>452.15999999999997</v>
      </c>
    </row>
    <row r="336" spans="1:18" x14ac:dyDescent="0.25">
      <c r="A336" s="104"/>
      <c r="B336" s="103"/>
      <c r="C336" s="104"/>
      <c r="D336" s="104"/>
      <c r="E336" s="105"/>
      <c r="F336" s="105"/>
      <c r="G336" s="104"/>
      <c r="H336" s="104"/>
    </row>
    <row r="337" spans="1:15" ht="15.75" x14ac:dyDescent="0.25">
      <c r="A337" s="104">
        <v>2</v>
      </c>
      <c r="B337" s="112" t="s">
        <v>211</v>
      </c>
      <c r="C337" s="104"/>
      <c r="D337" s="104"/>
      <c r="E337" s="105"/>
      <c r="F337" s="105"/>
      <c r="G337" s="104"/>
      <c r="H337" s="104"/>
    </row>
    <row r="338" spans="1:15" x14ac:dyDescent="0.25">
      <c r="A338" s="104"/>
      <c r="B338" s="103" t="s">
        <v>209</v>
      </c>
      <c r="C338" s="104" t="s">
        <v>5</v>
      </c>
      <c r="D338" s="104">
        <v>82</v>
      </c>
      <c r="E338" s="105">
        <v>3</v>
      </c>
      <c r="F338" s="104" t="s">
        <v>22</v>
      </c>
      <c r="G338" s="104" t="s">
        <v>22</v>
      </c>
      <c r="H338" s="104" t="s">
        <v>22</v>
      </c>
      <c r="I338" s="108">
        <f>(D338*E338*G327)</f>
        <v>2706</v>
      </c>
      <c r="O338" s="107">
        <f>I338</f>
        <v>2706</v>
      </c>
    </row>
    <row r="339" spans="1:15" x14ac:dyDescent="0.25">
      <c r="A339" s="104"/>
      <c r="B339" s="103"/>
      <c r="C339" s="104"/>
      <c r="D339" s="104"/>
      <c r="E339" s="105"/>
      <c r="F339" s="104"/>
      <c r="G339" s="104"/>
      <c r="H339" s="104"/>
      <c r="I339" s="124"/>
    </row>
    <row r="340" spans="1:15" ht="15.75" x14ac:dyDescent="0.25">
      <c r="A340" s="104">
        <v>3</v>
      </c>
      <c r="B340" s="112" t="s">
        <v>210</v>
      </c>
      <c r="C340" s="104"/>
      <c r="D340" s="104"/>
      <c r="E340" s="105"/>
      <c r="F340" s="104"/>
      <c r="G340" s="104"/>
      <c r="H340" s="104"/>
      <c r="I340" s="124"/>
    </row>
    <row r="341" spans="1:15" x14ac:dyDescent="0.25">
      <c r="A341" s="104"/>
      <c r="B341" s="103" t="s">
        <v>212</v>
      </c>
      <c r="C341" s="104" t="s">
        <v>213</v>
      </c>
      <c r="D341" s="104">
        <v>4</v>
      </c>
      <c r="E341" s="105">
        <f>19*2*2</f>
        <v>76</v>
      </c>
      <c r="F341" s="104" t="s">
        <v>22</v>
      </c>
      <c r="G341" s="104" t="s">
        <v>22</v>
      </c>
      <c r="H341" s="104" t="s">
        <v>22</v>
      </c>
      <c r="I341" s="104">
        <f>D341*E341</f>
        <v>304</v>
      </c>
    </row>
    <row r="342" spans="1:15" x14ac:dyDescent="0.25">
      <c r="A342" s="104"/>
      <c r="B342" s="103" t="s">
        <v>214</v>
      </c>
      <c r="C342" s="104" t="s">
        <v>213</v>
      </c>
      <c r="D342" s="104">
        <v>4</v>
      </c>
      <c r="E342" s="105">
        <f>34.01+6.6</f>
        <v>40.61</v>
      </c>
      <c r="F342" s="104" t="s">
        <v>22</v>
      </c>
      <c r="G342" s="104" t="s">
        <v>22</v>
      </c>
      <c r="H342" s="104" t="s">
        <v>22</v>
      </c>
      <c r="I342" s="104">
        <f>D342*E342</f>
        <v>162.44</v>
      </c>
    </row>
    <row r="343" spans="1:15" x14ac:dyDescent="0.25">
      <c r="A343" s="104"/>
      <c r="B343" s="103" t="s">
        <v>215</v>
      </c>
      <c r="C343" s="104" t="s">
        <v>213</v>
      </c>
      <c r="D343" s="104">
        <v>4</v>
      </c>
      <c r="E343" s="105">
        <f>34.01</f>
        <v>34.01</v>
      </c>
      <c r="F343" s="104" t="s">
        <v>22</v>
      </c>
      <c r="G343" s="104" t="s">
        <v>22</v>
      </c>
      <c r="H343" s="104" t="s">
        <v>22</v>
      </c>
      <c r="I343" s="104">
        <f>D343*E343</f>
        <v>136.04</v>
      </c>
    </row>
    <row r="344" spans="1:15" x14ac:dyDescent="0.25">
      <c r="A344" s="104"/>
      <c r="B344" s="103" t="s">
        <v>216</v>
      </c>
      <c r="C344" s="104" t="s">
        <v>213</v>
      </c>
      <c r="D344" s="104">
        <v>2</v>
      </c>
      <c r="E344" s="105">
        <f>3*4</f>
        <v>12</v>
      </c>
      <c r="F344" s="104" t="s">
        <v>22</v>
      </c>
      <c r="G344" s="104" t="s">
        <v>22</v>
      </c>
      <c r="H344" s="104" t="s">
        <v>22</v>
      </c>
      <c r="I344" s="104">
        <f>D344*E344</f>
        <v>24</v>
      </c>
    </row>
    <row r="345" spans="1:15" x14ac:dyDescent="0.25">
      <c r="A345" s="104"/>
      <c r="B345" s="103"/>
      <c r="C345" s="104"/>
      <c r="D345" s="104"/>
      <c r="E345" s="105"/>
      <c r="F345" s="104"/>
      <c r="G345" s="104"/>
      <c r="H345" s="104"/>
      <c r="I345" s="104"/>
    </row>
    <row r="346" spans="1:15" ht="15.75" x14ac:dyDescent="0.25">
      <c r="A346" s="104">
        <v>4</v>
      </c>
      <c r="B346" s="112" t="s">
        <v>220</v>
      </c>
      <c r="C346" s="104"/>
      <c r="D346" s="104"/>
      <c r="E346" s="105"/>
      <c r="F346" s="104"/>
      <c r="G346" s="104"/>
      <c r="H346" s="104"/>
      <c r="I346" s="124"/>
    </row>
    <row r="347" spans="1:15" x14ac:dyDescent="0.25">
      <c r="A347" s="104"/>
      <c r="B347" s="103" t="s">
        <v>218</v>
      </c>
      <c r="C347" s="104" t="s">
        <v>213</v>
      </c>
      <c r="D347" s="104">
        <v>2</v>
      </c>
      <c r="E347" s="105">
        <f>34.01+6.6</f>
        <v>40.61</v>
      </c>
      <c r="F347" s="104">
        <v>1.9</v>
      </c>
      <c r="G347" s="104" t="s">
        <v>22</v>
      </c>
      <c r="H347" s="104" t="s">
        <v>22</v>
      </c>
      <c r="I347" s="104">
        <f>D347*E347*F347</f>
        <v>154.31799999999998</v>
      </c>
    </row>
    <row r="348" spans="1:15" x14ac:dyDescent="0.25">
      <c r="A348" s="104"/>
      <c r="B348" s="103" t="s">
        <v>219</v>
      </c>
      <c r="C348" s="104" t="s">
        <v>213</v>
      </c>
      <c r="D348" s="104">
        <f>2*2</f>
        <v>4</v>
      </c>
      <c r="E348" s="105">
        <v>19</v>
      </c>
      <c r="F348" s="104">
        <v>1.9</v>
      </c>
      <c r="G348" s="104" t="s">
        <v>22</v>
      </c>
      <c r="H348" s="104" t="s">
        <v>22</v>
      </c>
      <c r="I348" s="104">
        <f>D348*E348*F348</f>
        <v>144.4</v>
      </c>
    </row>
    <row r="349" spans="1:15" x14ac:dyDescent="0.25">
      <c r="A349" s="104"/>
      <c r="B349" s="103"/>
      <c r="C349" s="104"/>
      <c r="D349" s="104"/>
      <c r="E349" s="105"/>
      <c r="F349" s="104"/>
      <c r="G349" s="104"/>
      <c r="H349" s="104"/>
      <c r="I349" s="104"/>
    </row>
    <row r="350" spans="1:15" ht="15.75" x14ac:dyDescent="0.25">
      <c r="A350" s="104">
        <v>5</v>
      </c>
      <c r="B350" s="112" t="s">
        <v>217</v>
      </c>
      <c r="C350" s="104"/>
      <c r="D350" s="104"/>
      <c r="E350" s="105"/>
      <c r="F350" s="104"/>
      <c r="G350" s="104"/>
      <c r="H350" s="104"/>
      <c r="I350" s="124"/>
    </row>
    <row r="351" spans="1:15" x14ac:dyDescent="0.25">
      <c r="A351" s="104"/>
      <c r="B351" s="103" t="s">
        <v>218</v>
      </c>
      <c r="C351" s="104" t="s">
        <v>213</v>
      </c>
      <c r="D351" s="104">
        <v>1</v>
      </c>
      <c r="E351" s="105">
        <f>34.01+6.6</f>
        <v>40.61</v>
      </c>
      <c r="F351" s="104" t="s">
        <v>22</v>
      </c>
      <c r="G351" s="104" t="s">
        <v>22</v>
      </c>
      <c r="H351" s="104" t="s">
        <v>22</v>
      </c>
      <c r="I351" s="104">
        <f>D351*E351</f>
        <v>40.61</v>
      </c>
    </row>
    <row r="352" spans="1:15" x14ac:dyDescent="0.25">
      <c r="A352" s="104"/>
      <c r="B352" s="103" t="s">
        <v>219</v>
      </c>
      <c r="C352" s="104" t="s">
        <v>213</v>
      </c>
      <c r="D352" s="104">
        <v>2</v>
      </c>
      <c r="E352" s="105">
        <v>19</v>
      </c>
      <c r="F352" s="104" t="s">
        <v>22</v>
      </c>
      <c r="G352" s="104" t="s">
        <v>22</v>
      </c>
      <c r="H352" s="104" t="s">
        <v>22</v>
      </c>
      <c r="I352" s="104">
        <f>D352*E352</f>
        <v>38</v>
      </c>
    </row>
    <row r="353" spans="1:27" x14ac:dyDescent="0.25">
      <c r="A353" s="104"/>
      <c r="B353" s="103"/>
      <c r="C353" s="104"/>
      <c r="D353" s="104"/>
      <c r="E353" s="105"/>
      <c r="F353" s="104"/>
      <c r="G353" s="104"/>
      <c r="H353" s="104"/>
      <c r="I353" s="104"/>
    </row>
    <row r="355" spans="1:27" ht="15.75" x14ac:dyDescent="0.25">
      <c r="A355" s="114" t="s">
        <v>221</v>
      </c>
    </row>
    <row r="357" spans="1:27" ht="15.75" x14ac:dyDescent="0.25">
      <c r="A357" s="115" t="s">
        <v>2</v>
      </c>
      <c r="B357" s="115" t="s">
        <v>34</v>
      </c>
      <c r="C357" s="171" t="s">
        <v>35</v>
      </c>
      <c r="D357" s="172"/>
      <c r="E357" s="173"/>
      <c r="F357" s="116"/>
      <c r="G357" s="115" t="s">
        <v>36</v>
      </c>
      <c r="H357" s="115"/>
      <c r="I357" s="117" t="s">
        <v>3</v>
      </c>
    </row>
    <row r="358" spans="1:27" ht="15.75" x14ac:dyDescent="0.25">
      <c r="A358" s="118">
        <v>1</v>
      </c>
      <c r="B358" s="118" t="s">
        <v>7</v>
      </c>
      <c r="C358" s="165">
        <f>C68</f>
        <v>6057.2400000000016</v>
      </c>
      <c r="D358" s="166"/>
      <c r="E358" s="167"/>
      <c r="F358" s="168">
        <f>F68</f>
        <v>22089.914757999999</v>
      </c>
      <c r="G358" s="169"/>
      <c r="H358" s="170"/>
      <c r="I358" s="21">
        <f>F358+C358</f>
        <v>28147.154758000001</v>
      </c>
      <c r="J358" s="107">
        <v>27811.01</v>
      </c>
    </row>
    <row r="359" spans="1:27" ht="15.75" x14ac:dyDescent="0.25">
      <c r="A359" s="118">
        <v>2</v>
      </c>
      <c r="B359" s="118" t="s">
        <v>113</v>
      </c>
      <c r="C359" s="165">
        <f>C147</f>
        <v>32937.218400000005</v>
      </c>
      <c r="D359" s="166"/>
      <c r="E359" s="167"/>
      <c r="F359" s="168">
        <f>F147</f>
        <v>9176.1735050000025</v>
      </c>
      <c r="G359" s="169"/>
      <c r="H359" s="170"/>
      <c r="I359" s="21">
        <f>F359+C359</f>
        <v>42113.391905000011</v>
      </c>
      <c r="J359" s="90">
        <v>42186.35</v>
      </c>
    </row>
    <row r="360" spans="1:27" ht="15.75" x14ac:dyDescent="0.25">
      <c r="A360" s="118">
        <v>3</v>
      </c>
      <c r="B360" s="118" t="s">
        <v>171</v>
      </c>
      <c r="C360" s="165">
        <f>C258</f>
        <v>14120.9288</v>
      </c>
      <c r="D360" s="166"/>
      <c r="E360" s="167"/>
      <c r="F360" s="168">
        <f>F258</f>
        <v>9271.3802204000003</v>
      </c>
      <c r="G360" s="169"/>
      <c r="H360" s="170"/>
      <c r="I360" s="21">
        <f>F360+C360</f>
        <v>23392.3090204</v>
      </c>
      <c r="J360" s="90">
        <v>24060</v>
      </c>
    </row>
    <row r="361" spans="1:27" ht="15.75" x14ac:dyDescent="0.25">
      <c r="A361" s="118">
        <v>4</v>
      </c>
      <c r="B361" s="118" t="s">
        <v>181</v>
      </c>
      <c r="C361" s="165">
        <f>C320</f>
        <v>9969.7080000000024</v>
      </c>
      <c r="D361" s="166"/>
      <c r="E361" s="167"/>
      <c r="F361" s="168">
        <f>F320</f>
        <v>1119.781776</v>
      </c>
      <c r="G361" s="169"/>
      <c r="H361" s="170"/>
      <c r="I361" s="21">
        <f>F361+C361</f>
        <v>11089.489776000002</v>
      </c>
      <c r="J361" s="90">
        <v>12664.54</v>
      </c>
    </row>
    <row r="362" spans="1:27" ht="15.75" x14ac:dyDescent="0.25">
      <c r="A362" s="118">
        <v>5</v>
      </c>
      <c r="B362" s="118" t="s">
        <v>222</v>
      </c>
      <c r="C362" s="165">
        <f>I334+I338</f>
        <v>3666</v>
      </c>
      <c r="D362" s="166"/>
      <c r="E362" s="167"/>
      <c r="F362" s="168">
        <f>I335</f>
        <v>452.15999999999997</v>
      </c>
      <c r="G362" s="169"/>
      <c r="H362" s="170"/>
      <c r="I362" s="21">
        <f>F362+C362</f>
        <v>4118.16</v>
      </c>
    </row>
    <row r="363" spans="1:27" ht="15.75" x14ac:dyDescent="0.25">
      <c r="A363" s="124"/>
      <c r="B363" s="118" t="s">
        <v>3</v>
      </c>
      <c r="C363" s="175">
        <f>SUM(C358:E362)</f>
        <v>66751.095200000011</v>
      </c>
      <c r="D363" s="176"/>
      <c r="E363" s="176"/>
      <c r="F363" s="177">
        <f>SUM(F358:H362)</f>
        <v>42109.410259400007</v>
      </c>
      <c r="G363" s="178"/>
      <c r="H363" s="178"/>
      <c r="I363" s="127">
        <f>SUM(I358:I361)</f>
        <v>104742.34545940002</v>
      </c>
      <c r="J363" s="107">
        <f>SUM(J358:J361)</f>
        <v>106721.9</v>
      </c>
    </row>
    <row r="364" spans="1:27" ht="31.5" x14ac:dyDescent="0.25">
      <c r="A364" s="118">
        <v>6</v>
      </c>
      <c r="B364" s="128" t="s">
        <v>335</v>
      </c>
      <c r="C364" s="156">
        <f>SUM(C358:E363)*0.03</f>
        <v>4005.0657120000005</v>
      </c>
      <c r="D364" s="157"/>
      <c r="E364" s="158"/>
      <c r="F364" s="159">
        <f>SUM(F358:H363)*0.03</f>
        <v>2526.5646155640002</v>
      </c>
      <c r="G364" s="160"/>
      <c r="H364" s="161"/>
      <c r="I364" s="127">
        <f>SUM(C364:H364)</f>
        <v>6531.6303275640003</v>
      </c>
      <c r="K364" s="21">
        <f t="shared" ref="K364:Z364" si="4">SUM(K4:K363)</f>
        <v>16996.8</v>
      </c>
      <c r="L364" s="21">
        <f t="shared" si="4"/>
        <v>1145.5999999999999</v>
      </c>
      <c r="M364" s="21">
        <f t="shared" si="4"/>
        <v>8023.4160000000002</v>
      </c>
      <c r="N364" s="21">
        <f t="shared" si="4"/>
        <v>8170.8024000000005</v>
      </c>
      <c r="O364" s="21">
        <f t="shared" si="4"/>
        <v>16970.866000000002</v>
      </c>
      <c r="P364" s="21">
        <f t="shared" si="4"/>
        <v>1677.6759999999999</v>
      </c>
      <c r="Q364" s="21">
        <f t="shared" si="4"/>
        <v>2009.6000000000001</v>
      </c>
      <c r="R364" s="21">
        <f t="shared" si="4"/>
        <v>20440.495680000004</v>
      </c>
      <c r="S364" s="21">
        <f t="shared" si="4"/>
        <v>9592.2037230000005</v>
      </c>
      <c r="T364" s="21">
        <f t="shared" si="4"/>
        <v>8586.871650000001</v>
      </c>
      <c r="U364" s="21">
        <f t="shared" si="4"/>
        <v>1141.1192064000002</v>
      </c>
      <c r="V364" s="21">
        <f t="shared" si="4"/>
        <v>734.76</v>
      </c>
      <c r="W364" s="21">
        <f t="shared" si="4"/>
        <v>2818.0248000000001</v>
      </c>
      <c r="X364" s="21">
        <f t="shared" si="4"/>
        <v>2003.7759999999998</v>
      </c>
      <c r="Y364" s="21">
        <f t="shared" si="4"/>
        <v>6946.67</v>
      </c>
      <c r="Z364" s="21">
        <f t="shared" si="4"/>
        <v>2046.7440000000001</v>
      </c>
      <c r="AA364" s="21">
        <f>SUM(K364:Z364)</f>
        <v>109305.42545940001</v>
      </c>
    </row>
    <row r="365" spans="1:27" ht="15.75" x14ac:dyDescent="0.25">
      <c r="A365" s="118">
        <v>7</v>
      </c>
      <c r="B365" s="118" t="s">
        <v>3</v>
      </c>
      <c r="C365" s="156">
        <f>SUM(C363:E364)</f>
        <v>70756.160912000007</v>
      </c>
      <c r="D365" s="157"/>
      <c r="E365" s="158"/>
      <c r="F365" s="159">
        <f>SUM(F363:H364)</f>
        <v>44635.974874964006</v>
      </c>
      <c r="G365" s="160"/>
      <c r="H365" s="161"/>
      <c r="I365" s="127">
        <f>SUM(I363:I364)</f>
        <v>111273.97578696402</v>
      </c>
      <c r="K365" s="21"/>
      <c r="L365" s="21"/>
      <c r="M365" s="21"/>
      <c r="N365" s="21"/>
      <c r="O365" s="21"/>
      <c r="P365" s="21"/>
      <c r="Q365" s="21"/>
      <c r="R365" s="21"/>
      <c r="S365" s="21"/>
      <c r="T365" s="21"/>
      <c r="U365" s="21"/>
      <c r="V365" s="21"/>
      <c r="W365" s="21"/>
      <c r="X365" s="21"/>
      <c r="Y365" s="21"/>
      <c r="Z365" s="21"/>
      <c r="AA365" s="21"/>
    </row>
    <row r="366" spans="1:27" ht="15.75" x14ac:dyDescent="0.25">
      <c r="A366" s="118">
        <v>8</v>
      </c>
      <c r="B366" s="118" t="s">
        <v>38</v>
      </c>
      <c r="C366" s="162">
        <f>I29+I183</f>
        <v>1408.48</v>
      </c>
      <c r="D366" s="163"/>
      <c r="E366" s="163"/>
      <c r="F366" s="163"/>
      <c r="G366" s="163"/>
      <c r="H366" s="163"/>
      <c r="I366" s="164"/>
      <c r="K366" s="21">
        <v>16996.8</v>
      </c>
      <c r="L366" s="21">
        <v>1145.5999999999999</v>
      </c>
      <c r="M366" s="21">
        <v>8023.32</v>
      </c>
      <c r="N366" s="21">
        <v>8167.17</v>
      </c>
      <c r="O366" s="21">
        <v>16940.07</v>
      </c>
      <c r="P366" s="21">
        <v>1677.68</v>
      </c>
      <c r="Q366" s="21">
        <v>2009.6</v>
      </c>
      <c r="R366" s="21">
        <v>20440.48</v>
      </c>
      <c r="S366" s="21">
        <v>9593.2099999999991</v>
      </c>
      <c r="T366" s="21">
        <v>8586.7999999999993</v>
      </c>
      <c r="U366" s="21">
        <v>1135.1099999999999</v>
      </c>
      <c r="V366" s="21">
        <v>734.64</v>
      </c>
      <c r="W366" s="21">
        <v>2818.02</v>
      </c>
      <c r="X366" s="21">
        <v>2003.78</v>
      </c>
      <c r="Y366" s="21">
        <v>6897.37</v>
      </c>
      <c r="Z366" s="21">
        <v>2046.74</v>
      </c>
      <c r="AA366" s="21">
        <f>SUM(K366:Z366)</f>
        <v>109216.39</v>
      </c>
    </row>
    <row r="367" spans="1:27" x14ac:dyDescent="0.25">
      <c r="H367" s="107"/>
      <c r="I367" s="107"/>
      <c r="K367" s="21">
        <f t="shared" ref="K367:Z367" si="5">K364-K366</f>
        <v>0</v>
      </c>
      <c r="L367" s="21">
        <f t="shared" si="5"/>
        <v>0</v>
      </c>
      <c r="M367" s="21">
        <f t="shared" si="5"/>
        <v>9.6000000000458385E-2</v>
      </c>
      <c r="N367" s="21">
        <f t="shared" si="5"/>
        <v>3.6324000000004162</v>
      </c>
      <c r="O367" s="21">
        <f t="shared" si="5"/>
        <v>30.796000000002095</v>
      </c>
      <c r="P367" s="21">
        <f t="shared" si="5"/>
        <v>-4.0000000001327862E-3</v>
      </c>
      <c r="Q367" s="21">
        <f t="shared" si="5"/>
        <v>0</v>
      </c>
      <c r="R367" s="21">
        <f t="shared" si="5"/>
        <v>1.5680000004067551E-2</v>
      </c>
      <c r="S367" s="21">
        <f t="shared" si="5"/>
        <v>-1.0062769999985903</v>
      </c>
      <c r="T367" s="21">
        <f t="shared" si="5"/>
        <v>7.1650000001682201E-2</v>
      </c>
      <c r="U367" s="21">
        <f t="shared" si="5"/>
        <v>6.0092064000002665</v>
      </c>
      <c r="V367" s="21">
        <f t="shared" si="5"/>
        <v>0.12000000000000455</v>
      </c>
      <c r="W367" s="21">
        <f t="shared" si="5"/>
        <v>4.8000000001593435E-3</v>
      </c>
      <c r="X367" s="21">
        <f t="shared" si="5"/>
        <v>-4.0000000001327862E-3</v>
      </c>
      <c r="Y367" s="21">
        <f t="shared" si="5"/>
        <v>49.300000000000182</v>
      </c>
      <c r="Z367" s="21">
        <f t="shared" si="5"/>
        <v>4.0000000001327862E-3</v>
      </c>
      <c r="AA367" s="21">
        <f>SUM(K367:Z367)</f>
        <v>89.035459400010609</v>
      </c>
    </row>
    <row r="368" spans="1:27" ht="15.6" customHeight="1" x14ac:dyDescent="0.25">
      <c r="H368" s="107"/>
      <c r="I368" s="107"/>
      <c r="K368" s="21" t="s">
        <v>229</v>
      </c>
      <c r="L368" s="129" t="s">
        <v>233</v>
      </c>
      <c r="M368" s="21" t="s">
        <v>230</v>
      </c>
      <c r="N368" s="21" t="s">
        <v>231</v>
      </c>
      <c r="O368" s="21" t="s">
        <v>228</v>
      </c>
      <c r="P368" s="21" t="s">
        <v>232</v>
      </c>
      <c r="Q368" s="21" t="s">
        <v>234</v>
      </c>
      <c r="R368" s="21" t="s">
        <v>235</v>
      </c>
      <c r="S368" s="21" t="s">
        <v>236</v>
      </c>
      <c r="T368" s="21" t="s">
        <v>237</v>
      </c>
      <c r="U368" s="21" t="s">
        <v>238</v>
      </c>
      <c r="V368" s="21" t="s">
        <v>239</v>
      </c>
      <c r="W368" s="21" t="s">
        <v>240</v>
      </c>
      <c r="X368" s="21" t="s">
        <v>241</v>
      </c>
      <c r="Y368" s="21" t="s">
        <v>242</v>
      </c>
      <c r="Z368" s="21" t="s">
        <v>243</v>
      </c>
      <c r="AA368" s="130" t="s">
        <v>3</v>
      </c>
    </row>
    <row r="369" spans="8:27" x14ac:dyDescent="0.25">
      <c r="H369" s="107"/>
      <c r="I369" s="107"/>
      <c r="K369" s="21">
        <v>60</v>
      </c>
      <c r="L369" s="129">
        <v>35.799999999999997</v>
      </c>
      <c r="M369" s="21">
        <v>19.7</v>
      </c>
      <c r="N369" s="21">
        <v>14.9</v>
      </c>
      <c r="O369" s="21">
        <v>11</v>
      </c>
      <c r="P369" s="21">
        <v>7.7</v>
      </c>
      <c r="Q369" s="21">
        <v>251.2</v>
      </c>
      <c r="R369" s="21">
        <v>157</v>
      </c>
      <c r="S369" s="21">
        <v>78.5</v>
      </c>
      <c r="T369" s="21">
        <v>39.25</v>
      </c>
      <c r="U369" s="21">
        <v>125.6</v>
      </c>
      <c r="V369" s="21">
        <v>5.9</v>
      </c>
      <c r="W369" s="21">
        <v>50.2</v>
      </c>
      <c r="X369" s="21">
        <v>52.4</v>
      </c>
      <c r="Y369" s="21">
        <v>22.3</v>
      </c>
      <c r="Z369" s="21">
        <v>16.8</v>
      </c>
      <c r="AA369" s="130" t="s">
        <v>245</v>
      </c>
    </row>
    <row r="370" spans="8:27" x14ac:dyDescent="0.25">
      <c r="K370" s="21">
        <f t="shared" ref="K370:Z370" si="6">K364/K369</f>
        <v>283.27999999999997</v>
      </c>
      <c r="L370" s="21">
        <f t="shared" si="6"/>
        <v>32</v>
      </c>
      <c r="M370" s="21">
        <f t="shared" si="6"/>
        <v>407.28000000000003</v>
      </c>
      <c r="N370" s="21">
        <f t="shared" si="6"/>
        <v>548.37599999999998</v>
      </c>
      <c r="O370" s="21">
        <f t="shared" si="6"/>
        <v>1542.8060000000003</v>
      </c>
      <c r="P370" s="21">
        <f t="shared" si="6"/>
        <v>217.88</v>
      </c>
      <c r="Q370" s="21">
        <f t="shared" si="6"/>
        <v>8.0000000000000018</v>
      </c>
      <c r="R370" s="21">
        <f t="shared" si="6"/>
        <v>130.19424000000004</v>
      </c>
      <c r="S370" s="21">
        <f t="shared" si="6"/>
        <v>122.19367800000001</v>
      </c>
      <c r="T370" s="21">
        <f t="shared" si="6"/>
        <v>218.77380000000002</v>
      </c>
      <c r="U370" s="21">
        <f t="shared" si="6"/>
        <v>9.085344000000001</v>
      </c>
      <c r="V370" s="21">
        <f t="shared" si="6"/>
        <v>124.53559322033897</v>
      </c>
      <c r="W370" s="21">
        <f t="shared" si="6"/>
        <v>56.135952191235056</v>
      </c>
      <c r="X370" s="21">
        <f t="shared" si="6"/>
        <v>38.239999999999995</v>
      </c>
      <c r="Y370" s="21">
        <f t="shared" si="6"/>
        <v>311.50986547085199</v>
      </c>
      <c r="Z370" s="21">
        <f t="shared" si="6"/>
        <v>121.83</v>
      </c>
      <c r="AA370" s="110" t="s">
        <v>278</v>
      </c>
    </row>
    <row r="374" spans="8:27" x14ac:dyDescent="0.25">
      <c r="I374" s="90">
        <f>I364*55</f>
        <v>359239.66801602003</v>
      </c>
    </row>
    <row r="375" spans="8:27" x14ac:dyDescent="0.25">
      <c r="I375" s="90">
        <f>I364*10</f>
        <v>65316.303275640006</v>
      </c>
    </row>
    <row r="377" spans="8:27" x14ac:dyDescent="0.25">
      <c r="T377" s="107"/>
    </row>
  </sheetData>
  <mergeCells count="34">
    <mergeCell ref="C363:E363"/>
    <mergeCell ref="F363:H363"/>
    <mergeCell ref="C364:E364"/>
    <mergeCell ref="C147:E147"/>
    <mergeCell ref="F147:H147"/>
    <mergeCell ref="C257:E257"/>
    <mergeCell ref="C319:E319"/>
    <mergeCell ref="C320:E320"/>
    <mergeCell ref="F320:H320"/>
    <mergeCell ref="C297:E297"/>
    <mergeCell ref="C298:E298"/>
    <mergeCell ref="F298:H298"/>
    <mergeCell ref="F364:H364"/>
    <mergeCell ref="A1:I1"/>
    <mergeCell ref="C67:E67"/>
    <mergeCell ref="C68:E68"/>
    <mergeCell ref="F68:H68"/>
    <mergeCell ref="C146:E146"/>
    <mergeCell ref="C365:E365"/>
    <mergeCell ref="F365:H365"/>
    <mergeCell ref="C366:I366"/>
    <mergeCell ref="C258:E258"/>
    <mergeCell ref="F258:H258"/>
    <mergeCell ref="C357:E357"/>
    <mergeCell ref="C362:E362"/>
    <mergeCell ref="F362:H362"/>
    <mergeCell ref="C358:E358"/>
    <mergeCell ref="F358:H358"/>
    <mergeCell ref="C359:E359"/>
    <mergeCell ref="F359:H359"/>
    <mergeCell ref="C360:E360"/>
    <mergeCell ref="F360:H360"/>
    <mergeCell ref="C361:E361"/>
    <mergeCell ref="F361:H361"/>
  </mergeCells>
  <pageMargins left="0.7" right="0.7" top="0.75" bottom="0.75" header="0.3" footer="0.3"/>
  <pageSetup orientation="portrait" r:id="rId1"/>
  <ignoredErrors>
    <ignoredError sqref="I96 D20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view="pageBreakPreview" zoomScaleSheetLayoutView="100" workbookViewId="0">
      <selection activeCell="L59" sqref="L59"/>
    </sheetView>
  </sheetViews>
  <sheetFormatPr defaultRowHeight="15" x14ac:dyDescent="0.25"/>
  <cols>
    <col min="6" max="6" width="16.42578125" customWidth="1"/>
    <col min="15" max="15" width="13.140625" bestFit="1" customWidth="1"/>
  </cols>
  <sheetData>
    <row r="1" spans="1:14" x14ac:dyDescent="0.25">
      <c r="A1" s="181" t="s">
        <v>246</v>
      </c>
      <c r="B1" s="181"/>
      <c r="C1" s="181"/>
      <c r="D1" s="181"/>
      <c r="E1" s="181"/>
      <c r="F1" s="181"/>
      <c r="G1" s="181"/>
      <c r="H1" s="181"/>
      <c r="I1" s="181"/>
      <c r="J1" s="181"/>
      <c r="K1" s="181"/>
      <c r="L1" s="181"/>
      <c r="M1" s="181"/>
      <c r="N1" s="181"/>
    </row>
    <row r="2" spans="1:14" ht="18.75" x14ac:dyDescent="0.25">
      <c r="A2" s="182" t="s">
        <v>247</v>
      </c>
      <c r="B2" s="182"/>
      <c r="C2" s="182"/>
      <c r="D2" s="182"/>
      <c r="E2" s="182"/>
      <c r="F2" s="182"/>
      <c r="G2" s="182"/>
      <c r="H2" s="182"/>
      <c r="I2" s="182"/>
      <c r="J2" s="182"/>
      <c r="K2" s="182"/>
      <c r="L2" s="182"/>
      <c r="M2" s="182"/>
      <c r="N2" s="182"/>
    </row>
    <row r="3" spans="1:14" ht="18.75" x14ac:dyDescent="0.25">
      <c r="A3" s="23"/>
      <c r="B3" s="23"/>
      <c r="C3" s="23"/>
      <c r="D3" s="23"/>
      <c r="E3" s="23"/>
      <c r="F3" s="23"/>
      <c r="G3" s="23"/>
      <c r="H3" s="23"/>
      <c r="I3" s="23"/>
      <c r="J3" s="23"/>
      <c r="K3" s="23"/>
      <c r="L3" s="23"/>
      <c r="M3" s="23"/>
      <c r="N3" s="23"/>
    </row>
    <row r="4" spans="1:14" ht="18.75" x14ac:dyDescent="0.25">
      <c r="A4" s="24" t="s">
        <v>248</v>
      </c>
      <c r="B4" s="23"/>
      <c r="C4" s="23"/>
      <c r="D4" s="23"/>
      <c r="E4" s="23"/>
      <c r="F4" s="23"/>
      <c r="G4" s="23"/>
      <c r="H4" s="23"/>
      <c r="I4" s="23"/>
      <c r="J4" s="23"/>
      <c r="K4" s="23"/>
      <c r="L4" s="23"/>
      <c r="M4" s="23"/>
      <c r="N4" s="23"/>
    </row>
    <row r="5" spans="1:14" ht="18.75" x14ac:dyDescent="0.25">
      <c r="A5" s="25"/>
      <c r="B5" s="25"/>
      <c r="C5" s="25"/>
      <c r="D5" s="25"/>
      <c r="E5" s="25"/>
      <c r="F5" s="25"/>
      <c r="G5" s="25"/>
      <c r="H5" s="25"/>
      <c r="I5" s="25"/>
      <c r="J5" s="23"/>
      <c r="K5" s="25"/>
      <c r="L5" s="25"/>
      <c r="M5" s="25"/>
      <c r="N5" s="26"/>
    </row>
    <row r="6" spans="1:14" ht="28.5" x14ac:dyDescent="0.25">
      <c r="A6" s="27" t="s">
        <v>249</v>
      </c>
      <c r="B6" s="27" t="s">
        <v>250</v>
      </c>
      <c r="C6" s="28" t="s">
        <v>251</v>
      </c>
      <c r="D6" s="28" t="s">
        <v>252</v>
      </c>
      <c r="E6" s="183" t="s">
        <v>253</v>
      </c>
      <c r="F6" s="184"/>
      <c r="G6" s="185"/>
      <c r="H6" s="29" t="s">
        <v>254</v>
      </c>
      <c r="I6" s="27" t="s">
        <v>255</v>
      </c>
      <c r="J6" s="27" t="s">
        <v>256</v>
      </c>
      <c r="K6" s="27" t="s">
        <v>257</v>
      </c>
      <c r="L6" s="27" t="s">
        <v>258</v>
      </c>
      <c r="M6" s="27" t="s">
        <v>259</v>
      </c>
      <c r="N6" s="27" t="s">
        <v>4</v>
      </c>
    </row>
    <row r="7" spans="1:14" x14ac:dyDescent="0.25">
      <c r="A7" s="30"/>
      <c r="B7" s="30"/>
      <c r="C7" s="30"/>
      <c r="D7" s="30"/>
      <c r="E7" s="31"/>
      <c r="F7" s="32">
        <v>5.88</v>
      </c>
      <c r="G7" s="33"/>
      <c r="H7" s="33"/>
      <c r="I7" s="30"/>
      <c r="J7" s="30"/>
      <c r="K7" s="30"/>
      <c r="L7" s="30"/>
      <c r="M7" s="30"/>
      <c r="N7" s="34"/>
    </row>
    <row r="8" spans="1:14" ht="57" x14ac:dyDescent="0.25">
      <c r="A8" s="35">
        <v>1</v>
      </c>
      <c r="B8" s="36" t="s">
        <v>260</v>
      </c>
      <c r="C8" s="35">
        <v>16</v>
      </c>
      <c r="D8" s="25">
        <v>0.15</v>
      </c>
      <c r="E8" s="37"/>
      <c r="F8" s="25"/>
      <c r="G8" s="38"/>
      <c r="H8" s="39">
        <v>4</v>
      </c>
      <c r="I8" s="35">
        <f>ROUND(((F7)/D8)+1,0)</f>
        <v>40</v>
      </c>
      <c r="J8" s="40">
        <f>E8+F7+G8+F9</f>
        <v>5.88</v>
      </c>
      <c r="K8" s="35">
        <f>H8*I8*J8</f>
        <v>940.8</v>
      </c>
      <c r="L8" s="35">
        <f>IF(C8=20,2.47,IF(C8=16,1.58,IF(C8=12,0.89,IF(C8=10,0.62,IF(C8=8,0.39,IF(C8=25,3.85,IF(C8=32,6.32)))))))</f>
        <v>1.58</v>
      </c>
      <c r="M8" s="35">
        <f>ROUND((K8*L8),3)</f>
        <v>1486.4639999999999</v>
      </c>
      <c r="N8" s="41" t="s">
        <v>261</v>
      </c>
    </row>
    <row r="9" spans="1:14" x14ac:dyDescent="0.25">
      <c r="A9" s="42"/>
      <c r="B9" s="42"/>
      <c r="C9" s="42"/>
      <c r="D9" s="42"/>
      <c r="E9" s="43"/>
      <c r="F9" s="44"/>
      <c r="G9" s="45"/>
      <c r="H9" s="45"/>
      <c r="I9" s="42"/>
      <c r="J9" s="42"/>
      <c r="K9" s="42"/>
      <c r="L9" s="42"/>
      <c r="M9" s="42"/>
      <c r="N9" s="46"/>
    </row>
    <row r="10" spans="1:14" x14ac:dyDescent="0.25">
      <c r="A10" s="47"/>
      <c r="N10" s="48"/>
    </row>
    <row r="11" spans="1:14" x14ac:dyDescent="0.25">
      <c r="A11" s="30"/>
      <c r="B11" s="30"/>
      <c r="C11" s="30"/>
      <c r="D11" s="30"/>
      <c r="E11" s="31"/>
      <c r="F11" s="49">
        <v>0.13500000000000001</v>
      </c>
      <c r="G11" s="33"/>
      <c r="H11" s="33"/>
      <c r="I11" s="30"/>
      <c r="J11" s="30"/>
      <c r="K11" s="30"/>
      <c r="L11" s="30"/>
      <c r="M11" s="30"/>
      <c r="N11" s="34"/>
    </row>
    <row r="12" spans="1:14" ht="65.45" customHeight="1" x14ac:dyDescent="0.25">
      <c r="A12" s="35">
        <v>2</v>
      </c>
      <c r="B12" s="50" t="s">
        <v>262</v>
      </c>
      <c r="C12" s="35">
        <v>10</v>
      </c>
      <c r="D12" s="35">
        <v>0.3</v>
      </c>
      <c r="E12" s="37">
        <v>0.78</v>
      </c>
      <c r="F12" s="25"/>
      <c r="G12" s="38"/>
      <c r="H12" s="39">
        <v>20</v>
      </c>
      <c r="I12" s="35">
        <f>ROUND(((F7)/D12)+1,0)</f>
        <v>21</v>
      </c>
      <c r="J12" s="40">
        <f>E12+F11+G12+F13</f>
        <v>1.05</v>
      </c>
      <c r="K12" s="35">
        <f>H12*I12*J12</f>
        <v>441</v>
      </c>
      <c r="L12" s="35">
        <f>IF(C12=20,2.47,IF(C12=16,1.58,IF(C12=12,0.89,IF(C12=10,0.62,IF(C12=8,0.39,IF(C12=25,3.85,IF(C12=32,6.32)))))))</f>
        <v>0.62</v>
      </c>
      <c r="M12" s="35">
        <f>ROUND((K12*L12),3)</f>
        <v>273.42</v>
      </c>
      <c r="N12" s="51" t="s">
        <v>263</v>
      </c>
    </row>
    <row r="13" spans="1:14" x14ac:dyDescent="0.25">
      <c r="A13" s="42"/>
      <c r="B13" s="42"/>
      <c r="C13" s="42"/>
      <c r="D13" s="42"/>
      <c r="E13" s="43"/>
      <c r="F13" s="44">
        <v>0.13500000000000001</v>
      </c>
      <c r="G13" s="45"/>
      <c r="H13" s="45"/>
      <c r="I13" s="42"/>
      <c r="J13" s="42"/>
      <c r="K13" s="42"/>
      <c r="L13" s="42"/>
      <c r="M13" s="42"/>
      <c r="N13" s="46"/>
    </row>
    <row r="14" spans="1:14" x14ac:dyDescent="0.25">
      <c r="A14" s="47"/>
      <c r="N14" s="48"/>
    </row>
    <row r="15" spans="1:14" x14ac:dyDescent="0.25">
      <c r="A15" s="30"/>
      <c r="B15" s="30"/>
      <c r="C15" s="30"/>
      <c r="D15" s="30"/>
      <c r="E15" s="31"/>
      <c r="F15" s="49"/>
      <c r="G15" s="33"/>
      <c r="H15" s="33"/>
      <c r="I15" s="30"/>
      <c r="J15" s="30"/>
      <c r="K15" s="30"/>
      <c r="L15" s="30"/>
      <c r="M15" s="30"/>
      <c r="N15" s="34"/>
    </row>
    <row r="16" spans="1:14" ht="42.75" x14ac:dyDescent="0.25">
      <c r="A16" s="35">
        <v>3</v>
      </c>
      <c r="B16" s="50" t="s">
        <v>264</v>
      </c>
      <c r="C16" s="35">
        <v>20</v>
      </c>
      <c r="D16" s="35"/>
      <c r="E16" s="37">
        <v>4.0999999999999996</v>
      </c>
      <c r="F16" s="25"/>
      <c r="G16" s="38"/>
      <c r="H16" s="39">
        <v>4</v>
      </c>
      <c r="I16" s="35">
        <v>24</v>
      </c>
      <c r="J16" s="40">
        <f>E16+F15+G16+F17</f>
        <v>4.3999999999999995</v>
      </c>
      <c r="K16" s="35">
        <f>H16*I16*J16</f>
        <v>422.4</v>
      </c>
      <c r="L16" s="35">
        <f>IF(C16=20,2.47,IF(C16=16,1.58,IF(C16=12,0.89,IF(C16=10,0.62,IF(C16=8,0.39,IF(C16=25,3.85,IF(C16=32,6.32)))))))</f>
        <v>2.4700000000000002</v>
      </c>
      <c r="M16" s="35">
        <f>ROUND((K16*L16),3)</f>
        <v>1043.328</v>
      </c>
      <c r="N16" s="41" t="s">
        <v>265</v>
      </c>
    </row>
    <row r="17" spans="1:14" x14ac:dyDescent="0.25">
      <c r="A17" s="42"/>
      <c r="B17" s="42"/>
      <c r="C17" s="42"/>
      <c r="D17" s="42"/>
      <c r="E17" s="43"/>
      <c r="F17" s="44">
        <v>0.3</v>
      </c>
      <c r="G17" s="45"/>
      <c r="H17" s="45"/>
      <c r="I17" s="42"/>
      <c r="J17" s="42"/>
      <c r="K17" s="42"/>
      <c r="L17" s="42"/>
      <c r="M17" s="42"/>
      <c r="N17" s="46"/>
    </row>
    <row r="18" spans="1:14" x14ac:dyDescent="0.25">
      <c r="A18" s="47"/>
      <c r="N18" s="48"/>
    </row>
    <row r="19" spans="1:14" x14ac:dyDescent="0.25">
      <c r="A19" s="30"/>
      <c r="B19" s="30"/>
      <c r="C19" s="30"/>
      <c r="D19" s="30"/>
      <c r="E19" s="31"/>
      <c r="F19" s="52">
        <v>1.1499999999999999</v>
      </c>
      <c r="G19" s="33"/>
      <c r="H19" s="33"/>
      <c r="I19" s="30"/>
      <c r="J19" s="30"/>
      <c r="K19" s="30"/>
      <c r="L19" s="30"/>
      <c r="M19" s="30"/>
      <c r="N19" s="34"/>
    </row>
    <row r="20" spans="1:14" ht="81" customHeight="1" x14ac:dyDescent="0.25">
      <c r="A20" s="35">
        <v>4</v>
      </c>
      <c r="B20" s="50" t="s">
        <v>266</v>
      </c>
      <c r="C20" s="35">
        <v>10</v>
      </c>
      <c r="D20" s="35">
        <v>0.3</v>
      </c>
      <c r="E20" s="37">
        <v>1.1499999999999999</v>
      </c>
      <c r="F20" s="25"/>
      <c r="G20" s="53">
        <v>1.1499999999999999</v>
      </c>
      <c r="H20" s="54">
        <v>4</v>
      </c>
      <c r="I20" s="35">
        <f>ROUND((((3.1+0.3-0.05))/D20)+1,0)</f>
        <v>12</v>
      </c>
      <c r="J20" s="40">
        <v>4.75</v>
      </c>
      <c r="K20" s="35">
        <f>H20*I20*J20</f>
        <v>228</v>
      </c>
      <c r="L20" s="35">
        <f>IF(C20=20,2.47,IF(C20=16,1.58,IF(C20=12,0.89,IF(C20=10,0.62,IF(C20=8,0.39,IF(C20=25,3.85,IF(C20=32,6.32)))))))</f>
        <v>0.62</v>
      </c>
      <c r="M20" s="35">
        <f>ROUND((K20*L20),3)</f>
        <v>141.36000000000001</v>
      </c>
      <c r="N20" s="41" t="s">
        <v>267</v>
      </c>
    </row>
    <row r="21" spans="1:14" x14ac:dyDescent="0.25">
      <c r="A21" s="42"/>
      <c r="B21" s="42"/>
      <c r="C21" s="42"/>
      <c r="D21" s="42"/>
      <c r="E21" s="43"/>
      <c r="F21" s="55">
        <v>1.1499999999999999</v>
      </c>
      <c r="G21" s="45"/>
      <c r="H21" s="45"/>
      <c r="I21" s="42"/>
      <c r="J21" s="42"/>
      <c r="K21" s="42"/>
      <c r="L21" s="42"/>
      <c r="M21" s="42"/>
      <c r="N21" s="46"/>
    </row>
    <row r="22" spans="1:14" ht="15.75" x14ac:dyDescent="0.25">
      <c r="A22" s="57" t="s">
        <v>268</v>
      </c>
      <c r="B22" s="25"/>
      <c r="C22" s="25"/>
      <c r="D22" s="25"/>
      <c r="E22" s="25"/>
      <c r="F22" s="25" t="s">
        <v>8</v>
      </c>
      <c r="G22" s="25">
        <v>2</v>
      </c>
      <c r="H22" s="1" t="s">
        <v>21</v>
      </c>
      <c r="I22" s="25"/>
      <c r="J22" s="25"/>
      <c r="K22" s="25"/>
      <c r="L22" s="25"/>
      <c r="M22" s="25"/>
      <c r="N22" s="26"/>
    </row>
    <row r="24" spans="1:14" x14ac:dyDescent="0.25">
      <c r="F24" s="186" t="s">
        <v>269</v>
      </c>
      <c r="G24" s="186"/>
      <c r="H24" s="186"/>
      <c r="I24" s="186"/>
      <c r="J24" s="186"/>
    </row>
    <row r="25" spans="1:14" x14ac:dyDescent="0.25">
      <c r="F25" s="58" t="s">
        <v>270</v>
      </c>
      <c r="G25" s="59" t="s">
        <v>21</v>
      </c>
      <c r="H25" s="58" t="s">
        <v>271</v>
      </c>
      <c r="I25" s="58" t="s">
        <v>272</v>
      </c>
      <c r="J25" s="58"/>
    </row>
    <row r="26" spans="1:14" x14ac:dyDescent="0.25">
      <c r="F26" s="60">
        <v>20</v>
      </c>
      <c r="G26" s="7">
        <v>2</v>
      </c>
      <c r="H26" s="60">
        <f>K16</f>
        <v>422.4</v>
      </c>
      <c r="I26" s="60">
        <v>2.4700000000000002</v>
      </c>
      <c r="J26" s="60">
        <f>G26*H26*I26</f>
        <v>2086.6559999999999</v>
      </c>
    </row>
    <row r="27" spans="1:14" x14ac:dyDescent="0.25">
      <c r="F27" s="60">
        <v>16</v>
      </c>
      <c r="G27" s="7">
        <v>2</v>
      </c>
      <c r="H27" s="60">
        <f>K8</f>
        <v>940.8</v>
      </c>
      <c r="I27" s="60">
        <v>1.58</v>
      </c>
      <c r="J27" s="60">
        <f>G27*H27*I27</f>
        <v>2972.9279999999999</v>
      </c>
    </row>
    <row r="28" spans="1:14" x14ac:dyDescent="0.25">
      <c r="F28" s="60">
        <v>10</v>
      </c>
      <c r="G28" s="7">
        <v>2</v>
      </c>
      <c r="H28" s="60">
        <f>SUM(K12,K20)</f>
        <v>669</v>
      </c>
      <c r="I28" s="60">
        <v>0.62</v>
      </c>
      <c r="J28" s="60">
        <f>G28*H28*I28</f>
        <v>829.56</v>
      </c>
    </row>
    <row r="29" spans="1:14" x14ac:dyDescent="0.25">
      <c r="F29" s="60"/>
      <c r="G29" s="10"/>
      <c r="H29" s="61"/>
      <c r="I29" s="61"/>
      <c r="J29" s="61">
        <f>SUM(J26:J28)</f>
        <v>5889.1440000000002</v>
      </c>
    </row>
    <row r="31" spans="1:14" ht="18.75" x14ac:dyDescent="0.25">
      <c r="A31" s="24" t="s">
        <v>273</v>
      </c>
      <c r="B31" s="23"/>
      <c r="C31" s="23"/>
      <c r="D31" s="23"/>
      <c r="E31" s="23"/>
      <c r="F31" s="23"/>
      <c r="G31" s="23"/>
      <c r="H31" s="23"/>
      <c r="I31" s="23"/>
      <c r="J31" s="23"/>
      <c r="K31" s="23"/>
      <c r="L31" s="23"/>
      <c r="M31" s="23"/>
      <c r="N31" s="23"/>
    </row>
    <row r="32" spans="1:14" ht="18.75" x14ac:dyDescent="0.25">
      <c r="A32" s="25"/>
      <c r="B32" s="25"/>
      <c r="C32" s="25"/>
      <c r="D32" s="25"/>
      <c r="E32" s="25"/>
      <c r="F32" s="25"/>
      <c r="G32" s="25"/>
      <c r="H32" s="25"/>
      <c r="I32" s="25"/>
      <c r="J32" s="23"/>
      <c r="K32" s="25"/>
      <c r="L32" s="25"/>
      <c r="M32" s="25"/>
      <c r="N32" s="26"/>
    </row>
    <row r="33" spans="1:14" ht="28.5" x14ac:dyDescent="0.25">
      <c r="A33" s="27" t="s">
        <v>249</v>
      </c>
      <c r="B33" s="27" t="s">
        <v>250</v>
      </c>
      <c r="C33" s="28" t="s">
        <v>251</v>
      </c>
      <c r="D33" s="28" t="s">
        <v>252</v>
      </c>
      <c r="E33" s="183" t="s">
        <v>253</v>
      </c>
      <c r="F33" s="184"/>
      <c r="G33" s="185"/>
      <c r="H33" s="29" t="s">
        <v>254</v>
      </c>
      <c r="I33" s="27" t="s">
        <v>255</v>
      </c>
      <c r="J33" s="27" t="s">
        <v>256</v>
      </c>
      <c r="K33" s="27" t="s">
        <v>257</v>
      </c>
      <c r="L33" s="27" t="s">
        <v>258</v>
      </c>
      <c r="M33" s="27" t="s">
        <v>259</v>
      </c>
      <c r="N33" s="27" t="s">
        <v>4</v>
      </c>
    </row>
    <row r="34" spans="1:14" x14ac:dyDescent="0.25">
      <c r="A34" s="30"/>
      <c r="B34" s="30"/>
      <c r="C34" s="30"/>
      <c r="D34" s="30"/>
      <c r="E34" s="31"/>
      <c r="F34" s="32">
        <v>5.4</v>
      </c>
      <c r="G34" s="33"/>
      <c r="H34" s="33"/>
      <c r="I34" s="30"/>
      <c r="J34" s="30"/>
      <c r="K34" s="30"/>
      <c r="L34" s="30"/>
      <c r="M34" s="30"/>
      <c r="N34" s="34"/>
    </row>
    <row r="35" spans="1:14" ht="57" x14ac:dyDescent="0.25">
      <c r="A35" s="35">
        <v>1</v>
      </c>
      <c r="B35" s="36" t="s">
        <v>274</v>
      </c>
      <c r="C35" s="35">
        <v>16</v>
      </c>
      <c r="D35" s="25">
        <v>0.15</v>
      </c>
      <c r="E35" s="37"/>
      <c r="F35" s="25"/>
      <c r="G35" s="38"/>
      <c r="H35" s="39">
        <v>2</v>
      </c>
      <c r="I35" s="35">
        <f>ROUND(((F34)/D35)+1,0)</f>
        <v>37</v>
      </c>
      <c r="J35" s="40">
        <f>E35+F34+G35+F36</f>
        <v>5.4</v>
      </c>
      <c r="K35" s="35">
        <f>H35*I35*J35</f>
        <v>399.6</v>
      </c>
      <c r="L35" s="35">
        <f>IF(C35=20,2.47,IF(C35=16,1.58,IF(C35=12,0.89,IF(C35=10,0.62,IF(C35=8,0.39,IF(C35=25,3.85,IF(C35=32,6.32)))))))</f>
        <v>1.58</v>
      </c>
      <c r="M35" s="35">
        <f>ROUND((K35*L35),3)</f>
        <v>631.36800000000005</v>
      </c>
      <c r="N35" s="41" t="s">
        <v>261</v>
      </c>
    </row>
    <row r="36" spans="1:14" x14ac:dyDescent="0.25">
      <c r="A36" s="42"/>
      <c r="B36" s="42"/>
      <c r="C36" s="42"/>
      <c r="D36" s="42"/>
      <c r="E36" s="43"/>
      <c r="F36" s="44"/>
      <c r="G36" s="45"/>
      <c r="H36" s="45"/>
      <c r="I36" s="42"/>
      <c r="J36" s="42"/>
      <c r="K36" s="42"/>
      <c r="L36" s="42"/>
      <c r="M36" s="42"/>
      <c r="N36" s="46"/>
    </row>
    <row r="37" spans="1:14" x14ac:dyDescent="0.25">
      <c r="A37" s="47"/>
      <c r="N37" s="48"/>
    </row>
    <row r="38" spans="1:14" x14ac:dyDescent="0.25">
      <c r="A38" s="30"/>
      <c r="B38" s="30"/>
      <c r="C38" s="30"/>
      <c r="D38" s="30"/>
      <c r="E38" s="31"/>
      <c r="F38" s="32">
        <v>4.4000000000000004</v>
      </c>
      <c r="G38" s="33"/>
      <c r="H38" s="33"/>
      <c r="I38" s="30"/>
      <c r="J38" s="30"/>
      <c r="K38" s="30"/>
      <c r="L38" s="30"/>
      <c r="M38" s="30"/>
      <c r="N38" s="34"/>
    </row>
    <row r="39" spans="1:14" ht="57" x14ac:dyDescent="0.25">
      <c r="A39" s="35">
        <v>2</v>
      </c>
      <c r="B39" s="36" t="s">
        <v>274</v>
      </c>
      <c r="C39" s="35">
        <v>16</v>
      </c>
      <c r="D39" s="25">
        <v>0.15</v>
      </c>
      <c r="E39" s="37"/>
      <c r="F39" s="25"/>
      <c r="G39" s="38"/>
      <c r="H39" s="39">
        <v>2</v>
      </c>
      <c r="I39" s="35">
        <f>ROUND(((F38)/D39)+1,0)</f>
        <v>30</v>
      </c>
      <c r="J39" s="40">
        <f>E39+F38+G39+F40</f>
        <v>4.4000000000000004</v>
      </c>
      <c r="K39" s="35">
        <f>H39*I39*J39</f>
        <v>264</v>
      </c>
      <c r="L39" s="35">
        <f>IF(C39=20,2.47,IF(C39=16,1.58,IF(C39=12,0.89,IF(C39=10,0.62,IF(C39=8,0.39,IF(C39=25,3.85,IF(C39=32,6.32)))))))</f>
        <v>1.58</v>
      </c>
      <c r="M39" s="35">
        <f>ROUND((K39*L39),3)</f>
        <v>417.12</v>
      </c>
      <c r="N39" s="41" t="s">
        <v>261</v>
      </c>
    </row>
    <row r="40" spans="1:14" x14ac:dyDescent="0.25">
      <c r="A40" s="42"/>
      <c r="B40" s="42"/>
      <c r="C40" s="42"/>
      <c r="D40" s="42"/>
      <c r="E40" s="43"/>
      <c r="F40" s="44"/>
      <c r="G40" s="45"/>
      <c r="H40" s="45"/>
      <c r="I40" s="42"/>
      <c r="J40" s="42"/>
      <c r="K40" s="42"/>
      <c r="L40" s="42"/>
      <c r="M40" s="42"/>
      <c r="N40" s="46"/>
    </row>
    <row r="42" spans="1:14" x14ac:dyDescent="0.25">
      <c r="A42" s="30"/>
      <c r="B42" s="30"/>
      <c r="C42" s="30"/>
      <c r="D42" s="30"/>
      <c r="E42" s="31"/>
      <c r="F42" s="49">
        <v>0.13500000000000001</v>
      </c>
      <c r="G42" s="33"/>
      <c r="H42" s="33"/>
      <c r="I42" s="30"/>
      <c r="J42" s="30"/>
      <c r="K42" s="30"/>
      <c r="L42" s="30"/>
      <c r="M42" s="30"/>
      <c r="N42" s="34"/>
    </row>
    <row r="43" spans="1:14" ht="62.45" customHeight="1" x14ac:dyDescent="0.25">
      <c r="A43" s="35">
        <v>3</v>
      </c>
      <c r="B43" s="50" t="s">
        <v>262</v>
      </c>
      <c r="C43" s="35">
        <v>10</v>
      </c>
      <c r="D43" s="35">
        <v>0.3</v>
      </c>
      <c r="E43" s="37">
        <v>0.63</v>
      </c>
      <c r="F43" s="25"/>
      <c r="G43" s="38"/>
      <c r="H43" s="35">
        <f>ROUND(((F38)/D43)+1,0)</f>
        <v>16</v>
      </c>
      <c r="I43" s="35">
        <f>ROUND(((F34)/D43)+1,0)</f>
        <v>19</v>
      </c>
      <c r="J43" s="40">
        <f>E43+F42+G43+F44</f>
        <v>0.9</v>
      </c>
      <c r="K43" s="35">
        <f>H43*I43*J43</f>
        <v>273.60000000000002</v>
      </c>
      <c r="L43" s="35">
        <f>IF(C43=20,2.47,IF(C43=16,1.58,IF(C43=12,0.89,IF(C43=10,0.62,IF(C43=8,0.39,IF(C43=25,3.85,IF(C43=32,6.32)))))))</f>
        <v>0.62</v>
      </c>
      <c r="M43" s="35">
        <f>ROUND((K43*L43),3)</f>
        <v>169.63200000000001</v>
      </c>
      <c r="N43" s="51" t="s">
        <v>263</v>
      </c>
    </row>
    <row r="44" spans="1:14" x14ac:dyDescent="0.25">
      <c r="A44" s="42"/>
      <c r="B44" s="42"/>
      <c r="C44" s="42"/>
      <c r="D44" s="42"/>
      <c r="E44" s="43"/>
      <c r="F44" s="44">
        <v>0.13500000000000001</v>
      </c>
      <c r="G44" s="45"/>
      <c r="H44" s="45"/>
      <c r="I44" s="42"/>
      <c r="J44" s="42"/>
      <c r="K44" s="42"/>
      <c r="L44" s="42"/>
      <c r="M44" s="42"/>
      <c r="N44" s="46"/>
    </row>
    <row r="45" spans="1:14" x14ac:dyDescent="0.25">
      <c r="A45" s="47"/>
      <c r="N45" s="48"/>
    </row>
    <row r="46" spans="1:14" x14ac:dyDescent="0.25">
      <c r="A46" s="30"/>
      <c r="B46" s="30"/>
      <c r="C46" s="30"/>
      <c r="D46" s="30"/>
      <c r="E46" s="31"/>
      <c r="F46" s="49"/>
      <c r="G46" s="33"/>
      <c r="H46" s="33"/>
      <c r="I46" s="30"/>
      <c r="J46" s="30"/>
      <c r="K46" s="30"/>
      <c r="L46" s="30"/>
      <c r="M46" s="30"/>
      <c r="N46" s="34"/>
    </row>
    <row r="47" spans="1:14" ht="42.75" x14ac:dyDescent="0.25">
      <c r="A47" s="35">
        <v>4</v>
      </c>
      <c r="B47" s="50" t="s">
        <v>264</v>
      </c>
      <c r="C47" s="35">
        <v>20</v>
      </c>
      <c r="D47" s="35"/>
      <c r="E47" s="37">
        <v>4.0999999999999996</v>
      </c>
      <c r="F47" s="25"/>
      <c r="G47" s="38"/>
      <c r="H47" s="39">
        <v>4</v>
      </c>
      <c r="I47" s="35">
        <v>16</v>
      </c>
      <c r="J47" s="40">
        <f>E47+F46+G47+F48</f>
        <v>4.3999999999999995</v>
      </c>
      <c r="K47" s="35">
        <f>H47*I47*J47</f>
        <v>281.59999999999997</v>
      </c>
      <c r="L47" s="35">
        <f>IF(C47=20,2.47,IF(C47=16,1.58,IF(C47=12,0.89,IF(C47=10,0.62,IF(C47=8,0.39,IF(C47=25,3.85,IF(C47=32,6.32)))))))</f>
        <v>2.4700000000000002</v>
      </c>
      <c r="M47" s="35">
        <f>ROUND((K47*L47),3)</f>
        <v>695.55200000000002</v>
      </c>
      <c r="N47" s="41" t="s">
        <v>265</v>
      </c>
    </row>
    <row r="48" spans="1:14" x14ac:dyDescent="0.25">
      <c r="A48" s="42"/>
      <c r="B48" s="42"/>
      <c r="C48" s="42"/>
      <c r="D48" s="42"/>
      <c r="E48" s="43"/>
      <c r="F48" s="44">
        <v>0.3</v>
      </c>
      <c r="G48" s="45"/>
      <c r="H48" s="45"/>
      <c r="I48" s="42"/>
      <c r="J48" s="42"/>
      <c r="K48" s="42"/>
      <c r="L48" s="42"/>
      <c r="M48" s="42"/>
      <c r="N48" s="46"/>
    </row>
    <row r="49" spans="1:14" x14ac:dyDescent="0.25">
      <c r="A49" s="47"/>
      <c r="N49" s="48"/>
    </row>
    <row r="50" spans="1:14" x14ac:dyDescent="0.25">
      <c r="A50" s="30"/>
      <c r="B50" s="30"/>
      <c r="C50" s="30"/>
      <c r="D50" s="30"/>
      <c r="E50" s="31"/>
      <c r="F50" s="52">
        <v>0.65</v>
      </c>
      <c r="G50" s="33"/>
      <c r="H50" s="33"/>
      <c r="I50" s="30"/>
      <c r="J50" s="30"/>
      <c r="K50" s="30"/>
      <c r="L50" s="30"/>
      <c r="M50" s="30"/>
      <c r="N50" s="34"/>
    </row>
    <row r="51" spans="1:14" ht="81.599999999999994" customHeight="1" x14ac:dyDescent="0.25">
      <c r="A51" s="35">
        <v>5</v>
      </c>
      <c r="B51" s="50" t="s">
        <v>266</v>
      </c>
      <c r="C51" s="35">
        <v>10</v>
      </c>
      <c r="D51" s="35">
        <v>0.3</v>
      </c>
      <c r="E51" s="37">
        <v>0.65</v>
      </c>
      <c r="F51" s="25"/>
      <c r="G51" s="53">
        <v>0.65</v>
      </c>
      <c r="H51" s="54">
        <v>4</v>
      </c>
      <c r="I51" s="35">
        <f>ROUND((((3.25+0.3-0.05))/D51)+1,0)</f>
        <v>13</v>
      </c>
      <c r="J51" s="40">
        <v>2.75</v>
      </c>
      <c r="K51" s="35">
        <f>H51*I51*J51</f>
        <v>143</v>
      </c>
      <c r="L51" s="35">
        <f>IF(C51=20,2.47,IF(C51=16,1.58,IF(C51=12,0.89,IF(C51=10,0.62,IF(C51=8,0.39,IF(C51=25,3.85,IF(C51=32,6.32)))))))</f>
        <v>0.62</v>
      </c>
      <c r="M51" s="35">
        <f>ROUND((K51*L51),3)</f>
        <v>88.66</v>
      </c>
      <c r="N51" s="41" t="s">
        <v>267</v>
      </c>
    </row>
    <row r="52" spans="1:14" x14ac:dyDescent="0.25">
      <c r="A52" s="42"/>
      <c r="B52" s="42"/>
      <c r="C52" s="42"/>
      <c r="D52" s="42"/>
      <c r="E52" s="43"/>
      <c r="F52" s="55">
        <v>0.65</v>
      </c>
      <c r="G52" s="45"/>
      <c r="H52" s="45"/>
      <c r="I52" s="42"/>
      <c r="J52" s="42"/>
      <c r="K52" s="42"/>
      <c r="L52" s="42"/>
      <c r="M52" s="42"/>
      <c r="N52" s="46"/>
    </row>
    <row r="53" spans="1:14" x14ac:dyDescent="0.25">
      <c r="A53" s="25"/>
      <c r="B53" s="25"/>
      <c r="C53" s="25"/>
      <c r="D53" s="25"/>
      <c r="E53" s="25"/>
      <c r="F53" s="56"/>
      <c r="G53" s="25"/>
      <c r="H53" s="25"/>
      <c r="I53" s="25"/>
      <c r="J53" s="25"/>
      <c r="K53" s="25"/>
      <c r="L53" s="25"/>
      <c r="M53" s="25"/>
      <c r="N53" s="26"/>
    </row>
    <row r="54" spans="1:14" ht="15.75" x14ac:dyDescent="0.25">
      <c r="A54" s="57" t="s">
        <v>268</v>
      </c>
      <c r="B54" s="25"/>
      <c r="C54" s="25"/>
      <c r="D54" s="25"/>
      <c r="E54" s="25"/>
      <c r="F54" s="25" t="s">
        <v>8</v>
      </c>
      <c r="G54" s="25">
        <v>4</v>
      </c>
      <c r="H54" s="1" t="s">
        <v>21</v>
      </c>
      <c r="I54" s="25"/>
      <c r="J54" s="25"/>
      <c r="K54" s="25"/>
      <c r="L54" s="25"/>
      <c r="M54" s="25"/>
      <c r="N54" s="26"/>
    </row>
    <row r="56" spans="1:14" x14ac:dyDescent="0.25">
      <c r="F56" s="186" t="s">
        <v>275</v>
      </c>
      <c r="G56" s="186"/>
      <c r="H56" s="186"/>
      <c r="I56" s="186"/>
      <c r="J56" s="186"/>
    </row>
    <row r="57" spans="1:14" x14ac:dyDescent="0.25">
      <c r="F57" s="58" t="s">
        <v>270</v>
      </c>
      <c r="G57" s="59" t="s">
        <v>21</v>
      </c>
      <c r="H57" s="58" t="s">
        <v>271</v>
      </c>
      <c r="I57" s="58" t="s">
        <v>272</v>
      </c>
      <c r="J57" s="58"/>
    </row>
    <row r="58" spans="1:14" x14ac:dyDescent="0.25">
      <c r="F58" s="60">
        <v>20</v>
      </c>
      <c r="G58" s="7">
        <v>4</v>
      </c>
      <c r="H58" s="60">
        <f>K47</f>
        <v>281.59999999999997</v>
      </c>
      <c r="I58" s="60">
        <v>2.4700000000000002</v>
      </c>
      <c r="J58" s="60">
        <f>G58*H58*I58</f>
        <v>2782.2080000000001</v>
      </c>
    </row>
    <row r="59" spans="1:14" x14ac:dyDescent="0.25">
      <c r="F59" s="60">
        <v>16</v>
      </c>
      <c r="G59" s="7">
        <v>4</v>
      </c>
      <c r="H59" s="60">
        <f>SUM(K35+K39)</f>
        <v>663.6</v>
      </c>
      <c r="I59" s="60">
        <v>1.58</v>
      </c>
      <c r="J59" s="60">
        <f>G59*H59*I59</f>
        <v>4193.9520000000002</v>
      </c>
    </row>
    <row r="60" spans="1:14" x14ac:dyDescent="0.25">
      <c r="F60" s="60">
        <v>10</v>
      </c>
      <c r="G60" s="7">
        <v>4</v>
      </c>
      <c r="H60" s="60">
        <f>SUM(K47,K51)</f>
        <v>424.59999999999997</v>
      </c>
      <c r="I60" s="60">
        <v>0.62</v>
      </c>
      <c r="J60" s="60">
        <f>G60*H60*I60</f>
        <v>1053.0079999999998</v>
      </c>
    </row>
    <row r="61" spans="1:14" x14ac:dyDescent="0.25">
      <c r="F61" s="60"/>
      <c r="G61" s="10"/>
      <c r="H61" s="61"/>
      <c r="I61" s="61"/>
      <c r="J61" s="61">
        <f>SUM(J58:J60)</f>
        <v>8029.1679999999997</v>
      </c>
    </row>
    <row r="63" spans="1:14" ht="18.75" x14ac:dyDescent="0.3">
      <c r="A63" s="17" t="s">
        <v>276</v>
      </c>
    </row>
    <row r="65" spans="6:17" ht="15.75" x14ac:dyDescent="0.25">
      <c r="F65" s="187" t="s">
        <v>277</v>
      </c>
      <c r="G65" s="187"/>
      <c r="H65" s="187"/>
      <c r="I65" s="187"/>
      <c r="J65" s="187"/>
    </row>
    <row r="66" spans="6:17" ht="31.5" x14ac:dyDescent="0.25">
      <c r="F66" s="62" t="s">
        <v>270</v>
      </c>
      <c r="G66" s="188" t="s">
        <v>333</v>
      </c>
      <c r="H66" s="189"/>
      <c r="I66" s="62" t="s">
        <v>272</v>
      </c>
      <c r="J66" s="63" t="s">
        <v>278</v>
      </c>
    </row>
    <row r="67" spans="6:17" ht="15.75" x14ac:dyDescent="0.25">
      <c r="F67" s="64">
        <v>20</v>
      </c>
      <c r="G67" s="179">
        <f>J26+J58</f>
        <v>4868.8639999999996</v>
      </c>
      <c r="H67" s="180"/>
      <c r="I67" s="64">
        <v>2.4700000000000002</v>
      </c>
      <c r="J67" s="64">
        <f>G67/I67</f>
        <v>1971.1999999999996</v>
      </c>
    </row>
    <row r="68" spans="6:17" ht="15.75" x14ac:dyDescent="0.25">
      <c r="F68" s="64">
        <v>16</v>
      </c>
      <c r="G68" s="179">
        <f>J27+J59</f>
        <v>7166.88</v>
      </c>
      <c r="H68" s="180"/>
      <c r="I68" s="64">
        <v>1.58</v>
      </c>
      <c r="J68" s="64">
        <f>G68/I68</f>
        <v>4536</v>
      </c>
    </row>
    <row r="69" spans="6:17" ht="15.75" x14ac:dyDescent="0.25">
      <c r="F69" s="64">
        <v>10</v>
      </c>
      <c r="G69" s="179">
        <f>J28+J60</f>
        <v>1882.5679999999998</v>
      </c>
      <c r="H69" s="180"/>
      <c r="I69" s="64">
        <v>0.62</v>
      </c>
      <c r="J69" s="64">
        <f>G69/I69</f>
        <v>3036.3999999999996</v>
      </c>
    </row>
    <row r="70" spans="6:17" ht="15.75" x14ac:dyDescent="0.25">
      <c r="F70" s="64"/>
      <c r="G70" s="179">
        <f>SUM(G67:H69)</f>
        <v>13918.311999999998</v>
      </c>
      <c r="H70" s="180"/>
      <c r="I70" s="65"/>
      <c r="J70" s="65"/>
    </row>
    <row r="71" spans="6:17" x14ac:dyDescent="0.25">
      <c r="G71" s="1"/>
    </row>
    <row r="72" spans="6:17" x14ac:dyDescent="0.25">
      <c r="G72" s="1"/>
    </row>
    <row r="73" spans="6:17" x14ac:dyDescent="0.25">
      <c r="M73" s="85"/>
    </row>
    <row r="74" spans="6:17" x14ac:dyDescent="0.25">
      <c r="M74" s="85"/>
    </row>
    <row r="75" spans="6:17" x14ac:dyDescent="0.25">
      <c r="M75" s="86"/>
      <c r="O75" s="87"/>
    </row>
    <row r="76" spans="6:17" ht="18.75" x14ac:dyDescent="0.3">
      <c r="G76">
        <f>G70*40</f>
        <v>556732.48</v>
      </c>
      <c r="O76" s="88"/>
      <c r="Q76" s="85"/>
    </row>
    <row r="77" spans="6:17" x14ac:dyDescent="0.25">
      <c r="G77">
        <f>G70*4.2</f>
        <v>58456.910399999993</v>
      </c>
    </row>
    <row r="78" spans="6:17" x14ac:dyDescent="0.25">
      <c r="G78">
        <f>G76+G77</f>
        <v>615189.39039999992</v>
      </c>
    </row>
  </sheetData>
  <mergeCells count="12">
    <mergeCell ref="G70:H70"/>
    <mergeCell ref="A1:N1"/>
    <mergeCell ref="A2:N2"/>
    <mergeCell ref="E6:G6"/>
    <mergeCell ref="F24:J24"/>
    <mergeCell ref="E33:G33"/>
    <mergeCell ref="F56:J56"/>
    <mergeCell ref="F65:J65"/>
    <mergeCell ref="G66:H66"/>
    <mergeCell ref="G67:H67"/>
    <mergeCell ref="G68:H68"/>
    <mergeCell ref="G69:H69"/>
  </mergeCells>
  <pageMargins left="0.7" right="0.7" top="0.75" bottom="0.75" header="0.3" footer="0.3"/>
  <pageSetup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40"/>
  <sheetViews>
    <sheetView view="pageBreakPreview" topLeftCell="A112" zoomScaleSheetLayoutView="100" workbookViewId="0">
      <selection activeCell="A125" sqref="A125:I129"/>
    </sheetView>
  </sheetViews>
  <sheetFormatPr defaultRowHeight="15" x14ac:dyDescent="0.25"/>
  <cols>
    <col min="1" max="1" width="5.5703125" customWidth="1"/>
    <col min="2" max="2" width="22.42578125" customWidth="1"/>
    <col min="16" max="16" width="11" bestFit="1" customWidth="1"/>
  </cols>
  <sheetData>
    <row r="1" spans="1:9" ht="18.75" x14ac:dyDescent="0.25">
      <c r="A1" s="190" t="s">
        <v>309</v>
      </c>
      <c r="B1" s="190"/>
      <c r="C1" s="190"/>
      <c r="D1" s="190"/>
      <c r="E1" s="190"/>
      <c r="F1" s="190"/>
      <c r="G1" s="190"/>
      <c r="H1" s="190"/>
      <c r="I1" s="190"/>
    </row>
    <row r="2" spans="1:9" ht="18.75" x14ac:dyDescent="0.25">
      <c r="A2" s="20"/>
      <c r="B2" s="20"/>
      <c r="C2" s="20"/>
      <c r="D2" s="20"/>
      <c r="E2" s="20"/>
      <c r="F2" s="20"/>
      <c r="G2" s="20"/>
      <c r="H2" s="20"/>
      <c r="I2" s="20"/>
    </row>
    <row r="3" spans="1:9" ht="18.75" x14ac:dyDescent="0.25">
      <c r="A3" s="5">
        <v>1</v>
      </c>
      <c r="B3" s="16" t="s">
        <v>306</v>
      </c>
      <c r="C3" s="20"/>
      <c r="D3" s="20"/>
      <c r="E3" s="20"/>
      <c r="F3" s="20"/>
      <c r="G3" s="20"/>
      <c r="H3" s="20"/>
      <c r="I3" s="20"/>
    </row>
    <row r="4" spans="1:9" ht="15.75" x14ac:dyDescent="0.25">
      <c r="B4" s="66"/>
      <c r="C4" s="66"/>
      <c r="D4" s="66"/>
      <c r="E4" s="66">
        <v>3</v>
      </c>
      <c r="F4" s="66"/>
      <c r="G4" s="66"/>
      <c r="H4" s="66"/>
      <c r="I4" s="66"/>
    </row>
    <row r="5" spans="1:9" ht="15.75" x14ac:dyDescent="0.25">
      <c r="B5" s="66"/>
      <c r="C5" s="66"/>
      <c r="D5" s="66"/>
      <c r="E5" s="66"/>
      <c r="F5" s="66"/>
      <c r="G5" s="66"/>
      <c r="H5" s="66" t="s">
        <v>279</v>
      </c>
      <c r="I5" s="66"/>
    </row>
    <row r="6" spans="1:9" ht="15.75" x14ac:dyDescent="0.25">
      <c r="B6" s="66"/>
      <c r="C6" s="66"/>
      <c r="D6" s="66"/>
      <c r="E6" s="66"/>
      <c r="F6" s="66"/>
      <c r="G6" s="66"/>
      <c r="H6" s="66" t="s">
        <v>280</v>
      </c>
      <c r="I6" s="67">
        <v>0.84</v>
      </c>
    </row>
    <row r="7" spans="1:9" ht="15.75" x14ac:dyDescent="0.25">
      <c r="B7" s="66"/>
      <c r="C7" s="66"/>
      <c r="D7" s="67">
        <v>1.25</v>
      </c>
      <c r="E7" s="66"/>
      <c r="F7" s="66"/>
      <c r="G7" s="67">
        <v>1.25</v>
      </c>
      <c r="H7" s="66"/>
      <c r="I7" s="67">
        <v>0.71</v>
      </c>
    </row>
    <row r="8" spans="1:9" ht="15.75" x14ac:dyDescent="0.25">
      <c r="B8" s="66"/>
      <c r="C8" s="66"/>
      <c r="D8" s="67" t="s">
        <v>44</v>
      </c>
      <c r="E8" s="66"/>
      <c r="F8" s="66"/>
      <c r="G8" s="67" t="s">
        <v>44</v>
      </c>
      <c r="H8" s="66" t="s">
        <v>281</v>
      </c>
      <c r="I8" s="66"/>
    </row>
    <row r="9" spans="1:9" ht="15.75" x14ac:dyDescent="0.25">
      <c r="B9" s="66"/>
      <c r="C9" s="66"/>
      <c r="D9" s="67">
        <v>1.25</v>
      </c>
      <c r="E9" s="66"/>
      <c r="F9" s="66"/>
      <c r="G9" s="67">
        <v>1.25</v>
      </c>
      <c r="H9" s="66"/>
      <c r="I9" s="66"/>
    </row>
    <row r="10" spans="1:9" ht="15.75" x14ac:dyDescent="0.25">
      <c r="B10" s="66"/>
      <c r="C10" s="66"/>
      <c r="D10" s="66"/>
      <c r="E10" s="66"/>
      <c r="F10" s="66"/>
      <c r="G10" s="66"/>
      <c r="H10" s="66"/>
      <c r="I10" s="66"/>
    </row>
    <row r="11" spans="1:9" ht="15.75" x14ac:dyDescent="0.25">
      <c r="B11" s="68"/>
      <c r="C11" s="66"/>
      <c r="D11" s="66"/>
      <c r="E11" s="66"/>
      <c r="F11" s="66"/>
      <c r="G11" s="66"/>
      <c r="H11" s="66"/>
      <c r="I11" s="69">
        <v>1.55</v>
      </c>
    </row>
    <row r="12" spans="1:9" ht="15.75" x14ac:dyDescent="0.25">
      <c r="B12" s="66">
        <v>4.3</v>
      </c>
      <c r="C12" s="66"/>
      <c r="D12" s="66"/>
      <c r="E12" s="66"/>
      <c r="F12" s="66"/>
      <c r="G12" s="66"/>
      <c r="H12" s="66"/>
      <c r="I12" s="66"/>
    </row>
    <row r="13" spans="1:9" ht="15.75" x14ac:dyDescent="0.25">
      <c r="B13" s="66"/>
      <c r="C13" s="66"/>
      <c r="D13" s="66"/>
      <c r="E13" s="66"/>
      <c r="F13" s="66"/>
      <c r="G13" s="66"/>
      <c r="H13" s="67"/>
      <c r="I13" s="66"/>
    </row>
    <row r="14" spans="1:9" ht="15.75" x14ac:dyDescent="0.25">
      <c r="B14" s="66"/>
      <c r="C14" s="66"/>
      <c r="D14" s="66"/>
      <c r="E14" s="66"/>
      <c r="F14" s="66"/>
      <c r="G14" s="66"/>
      <c r="H14" s="66"/>
      <c r="I14" s="66"/>
    </row>
    <row r="15" spans="1:9" ht="15.75" x14ac:dyDescent="0.25">
      <c r="B15" s="66"/>
      <c r="C15" s="66"/>
      <c r="D15" s="66"/>
      <c r="E15" s="66"/>
      <c r="F15" s="66"/>
      <c r="G15" s="66"/>
      <c r="H15" s="66"/>
      <c r="I15" s="67">
        <v>0.9</v>
      </c>
    </row>
    <row r="16" spans="1:9" ht="15.75" x14ac:dyDescent="0.25">
      <c r="B16" s="66"/>
      <c r="C16" s="66"/>
      <c r="D16" s="66"/>
      <c r="E16" s="66"/>
      <c r="F16" s="66"/>
      <c r="G16" s="66"/>
      <c r="H16" s="66"/>
      <c r="I16" s="66"/>
    </row>
    <row r="17" spans="1:9" ht="15.75" x14ac:dyDescent="0.25">
      <c r="B17" s="66"/>
      <c r="C17" s="66"/>
      <c r="D17" s="66"/>
      <c r="E17" s="66" t="s">
        <v>282</v>
      </c>
      <c r="F17" s="66"/>
      <c r="G17" s="66"/>
      <c r="H17" s="66"/>
      <c r="I17" s="67">
        <v>0.15</v>
      </c>
    </row>
    <row r="18" spans="1:9" ht="15.75" x14ac:dyDescent="0.25">
      <c r="B18" s="66"/>
      <c r="C18" s="66"/>
      <c r="D18" s="66"/>
      <c r="E18" s="66" t="s">
        <v>283</v>
      </c>
      <c r="F18" s="66"/>
      <c r="G18" s="66"/>
      <c r="H18" s="66"/>
      <c r="I18" s="67">
        <v>0.15</v>
      </c>
    </row>
    <row r="19" spans="1:9" ht="15.75" x14ac:dyDescent="0.25">
      <c r="B19" s="66"/>
      <c r="C19" s="66"/>
      <c r="D19" s="66"/>
      <c r="E19" s="67" t="s">
        <v>284</v>
      </c>
      <c r="F19" s="67"/>
      <c r="G19" s="67"/>
      <c r="H19" s="66"/>
      <c r="I19" s="66"/>
    </row>
    <row r="20" spans="1:9" ht="15.75" x14ac:dyDescent="0.25">
      <c r="B20" s="66"/>
      <c r="C20" s="66"/>
      <c r="D20" s="66"/>
      <c r="E20" s="67"/>
      <c r="F20" s="67"/>
      <c r="G20" s="67"/>
      <c r="H20" s="66"/>
      <c r="I20" s="66"/>
    </row>
    <row r="21" spans="1:9" ht="15.75" x14ac:dyDescent="0.25">
      <c r="B21" s="66"/>
      <c r="C21" s="66"/>
      <c r="D21" s="66"/>
      <c r="E21" s="67"/>
      <c r="F21" s="67"/>
      <c r="G21" s="67"/>
      <c r="H21" s="66"/>
      <c r="I21" s="66"/>
    </row>
    <row r="22" spans="1:9" ht="15.75" x14ac:dyDescent="0.25">
      <c r="B22" s="66" t="s">
        <v>285</v>
      </c>
      <c r="C22" s="66"/>
      <c r="D22" s="67">
        <v>1.25</v>
      </c>
      <c r="E22" s="67" t="s">
        <v>44</v>
      </c>
      <c r="F22" s="67">
        <v>1.25</v>
      </c>
      <c r="G22" s="67" t="s">
        <v>44</v>
      </c>
      <c r="H22" s="69">
        <v>3.1</v>
      </c>
      <c r="I22" s="66" t="s">
        <v>13</v>
      </c>
    </row>
    <row r="23" spans="1:9" ht="15.75" x14ac:dyDescent="0.25">
      <c r="B23" s="66" t="s">
        <v>286</v>
      </c>
      <c r="C23" s="66"/>
      <c r="D23" s="67">
        <v>6</v>
      </c>
      <c r="E23" s="67" t="s">
        <v>44</v>
      </c>
      <c r="F23" s="67">
        <v>6</v>
      </c>
      <c r="G23" s="67" t="s">
        <v>44</v>
      </c>
      <c r="H23" s="67">
        <v>0.9</v>
      </c>
      <c r="I23" s="66" t="s">
        <v>13</v>
      </c>
    </row>
    <row r="24" spans="1:9" ht="15.75" x14ac:dyDescent="0.25">
      <c r="B24" s="66" t="s">
        <v>287</v>
      </c>
      <c r="C24" s="66"/>
      <c r="D24" s="66"/>
      <c r="E24" s="66"/>
      <c r="F24" s="66"/>
      <c r="G24" s="67" t="s">
        <v>8</v>
      </c>
      <c r="H24" s="66">
        <v>0.84</v>
      </c>
      <c r="I24" s="66" t="s">
        <v>13</v>
      </c>
    </row>
    <row r="25" spans="1:9" ht="15.75" x14ac:dyDescent="0.25">
      <c r="B25" s="66" t="s">
        <v>288</v>
      </c>
      <c r="C25" s="66"/>
      <c r="D25" s="66"/>
      <c r="E25" s="66"/>
      <c r="F25" s="66"/>
      <c r="G25" s="67" t="s">
        <v>8</v>
      </c>
      <c r="H25" s="66">
        <v>0.71</v>
      </c>
      <c r="I25" s="66" t="s">
        <v>13</v>
      </c>
    </row>
    <row r="26" spans="1:9" ht="15.75" x14ac:dyDescent="0.25">
      <c r="B26" s="66" t="s">
        <v>289</v>
      </c>
      <c r="C26" s="66"/>
      <c r="D26" s="66"/>
      <c r="E26" s="66"/>
      <c r="F26" s="66"/>
      <c r="G26" s="67" t="s">
        <v>8</v>
      </c>
      <c r="H26" s="66">
        <v>0.15</v>
      </c>
      <c r="I26" s="66" t="s">
        <v>13</v>
      </c>
    </row>
    <row r="27" spans="1:9" ht="15.75" x14ac:dyDescent="0.25">
      <c r="B27" s="66" t="s">
        <v>290</v>
      </c>
      <c r="C27" s="66"/>
      <c r="D27" s="66"/>
      <c r="E27" s="66"/>
      <c r="F27" s="66"/>
      <c r="G27" s="67" t="s">
        <v>8</v>
      </c>
      <c r="H27" s="70">
        <v>0.15</v>
      </c>
      <c r="I27" s="66" t="s">
        <v>13</v>
      </c>
    </row>
    <row r="28" spans="1:9" ht="15.75" x14ac:dyDescent="0.25">
      <c r="B28" s="66" t="s">
        <v>291</v>
      </c>
      <c r="C28" s="66"/>
      <c r="D28" s="66"/>
      <c r="E28" s="66"/>
      <c r="F28" s="66"/>
      <c r="G28" s="67" t="s">
        <v>8</v>
      </c>
      <c r="H28" s="70">
        <v>4</v>
      </c>
      <c r="I28" s="66" t="s">
        <v>13</v>
      </c>
    </row>
    <row r="29" spans="1:9" ht="15.75" x14ac:dyDescent="0.25">
      <c r="B29" s="66" t="s">
        <v>292</v>
      </c>
      <c r="C29" s="66"/>
      <c r="D29" s="66"/>
      <c r="E29" s="66"/>
      <c r="F29" s="66"/>
      <c r="G29" s="67" t="s">
        <v>8</v>
      </c>
      <c r="H29" s="70">
        <v>3</v>
      </c>
      <c r="I29" s="66" t="s">
        <v>13</v>
      </c>
    </row>
    <row r="30" spans="1:9" ht="18.75" x14ac:dyDescent="0.25">
      <c r="A30" s="20"/>
      <c r="B30" s="20"/>
      <c r="C30" s="20"/>
      <c r="D30" s="20"/>
      <c r="E30" s="20"/>
      <c r="F30" s="20"/>
      <c r="G30" s="20"/>
      <c r="H30" s="20"/>
      <c r="I30" s="20"/>
    </row>
    <row r="31" spans="1:9" ht="15.75" x14ac:dyDescent="0.25">
      <c r="A31" s="11" t="s">
        <v>23</v>
      </c>
    </row>
    <row r="33" spans="1:9" ht="15.75" x14ac:dyDescent="0.25">
      <c r="A33" s="3" t="s">
        <v>2</v>
      </c>
      <c r="B33" s="3" t="s">
        <v>0</v>
      </c>
      <c r="C33" s="3" t="s">
        <v>1</v>
      </c>
      <c r="D33" s="3" t="s">
        <v>21</v>
      </c>
      <c r="E33" s="3" t="s">
        <v>15</v>
      </c>
      <c r="F33" s="3" t="s">
        <v>16</v>
      </c>
      <c r="G33" s="3" t="s">
        <v>18</v>
      </c>
      <c r="H33" s="3" t="s">
        <v>17</v>
      </c>
      <c r="I33" s="3" t="s">
        <v>6</v>
      </c>
    </row>
    <row r="34" spans="1:9" ht="15.75" x14ac:dyDescent="0.25">
      <c r="A34" s="4">
        <v>1</v>
      </c>
      <c r="B34" s="12" t="s">
        <v>293</v>
      </c>
      <c r="C34" s="3"/>
      <c r="D34" s="3"/>
      <c r="E34" s="3"/>
      <c r="F34" s="3"/>
      <c r="G34" s="3"/>
      <c r="H34" s="3"/>
      <c r="I34" s="3"/>
    </row>
    <row r="35" spans="1:9" x14ac:dyDescent="0.25">
      <c r="A35" s="6"/>
      <c r="B35" s="2" t="s">
        <v>294</v>
      </c>
      <c r="C35" s="7" t="s">
        <v>295</v>
      </c>
      <c r="D35" s="7">
        <v>2</v>
      </c>
      <c r="E35" s="8">
        <v>6</v>
      </c>
      <c r="F35" s="7">
        <f>E35</f>
        <v>6</v>
      </c>
      <c r="G35" s="7">
        <v>0.15</v>
      </c>
      <c r="H35" s="7" t="s">
        <v>22</v>
      </c>
      <c r="I35" s="22">
        <f>(D35*E35*F35*G35)</f>
        <v>10.799999999999999</v>
      </c>
    </row>
    <row r="36" spans="1:9" x14ac:dyDescent="0.25">
      <c r="A36" s="7"/>
      <c r="B36" s="7"/>
      <c r="C36" s="7"/>
      <c r="D36" s="7"/>
      <c r="E36" s="8"/>
      <c r="F36" s="7"/>
      <c r="G36" s="7"/>
      <c r="H36" s="7"/>
      <c r="I36" s="22"/>
    </row>
    <row r="37" spans="1:9" ht="15.75" x14ac:dyDescent="0.25">
      <c r="A37" s="7">
        <v>2</v>
      </c>
      <c r="B37" s="13" t="s">
        <v>297</v>
      </c>
      <c r="C37" s="7"/>
      <c r="D37" s="7"/>
      <c r="E37" s="8"/>
      <c r="F37" s="7"/>
      <c r="G37" s="7"/>
      <c r="H37" s="7"/>
      <c r="I37" s="22"/>
    </row>
    <row r="38" spans="1:9" x14ac:dyDescent="0.25">
      <c r="A38" s="7"/>
      <c r="B38" s="2" t="s">
        <v>296</v>
      </c>
      <c r="C38" s="7" t="s">
        <v>295</v>
      </c>
      <c r="D38" s="7">
        <v>2</v>
      </c>
      <c r="E38" s="8">
        <v>6</v>
      </c>
      <c r="F38" s="7">
        <v>6</v>
      </c>
      <c r="G38" s="7">
        <v>0.9</v>
      </c>
      <c r="H38" s="7" t="s">
        <v>22</v>
      </c>
      <c r="I38" s="22">
        <f>(D38*E38*F38*G38)</f>
        <v>64.8</v>
      </c>
    </row>
    <row r="39" spans="1:9" x14ac:dyDescent="0.25">
      <c r="A39" s="7"/>
      <c r="B39" s="2" t="s">
        <v>298</v>
      </c>
      <c r="C39" s="7" t="s">
        <v>295</v>
      </c>
      <c r="D39" s="7">
        <f>2*4</f>
        <v>8</v>
      </c>
      <c r="E39" s="8">
        <v>1.25</v>
      </c>
      <c r="F39" s="7">
        <v>1.25</v>
      </c>
      <c r="G39" s="7">
        <f>3.1+0.3</f>
        <v>3.4</v>
      </c>
      <c r="H39" s="7" t="s">
        <v>22</v>
      </c>
      <c r="I39" s="22">
        <f>(D39*E39*F39*G39)</f>
        <v>42.5</v>
      </c>
    </row>
    <row r="40" spans="1:9" x14ac:dyDescent="0.25">
      <c r="A40" s="7"/>
      <c r="B40" s="2"/>
      <c r="C40" s="7"/>
      <c r="D40" s="7"/>
      <c r="E40" s="8"/>
      <c r="F40" s="7"/>
      <c r="G40" s="7"/>
      <c r="H40" s="7"/>
      <c r="I40" s="22"/>
    </row>
    <row r="41" spans="1:9" ht="15.75" x14ac:dyDescent="0.25">
      <c r="A41" s="7">
        <v>3</v>
      </c>
      <c r="B41" s="13" t="s">
        <v>299</v>
      </c>
      <c r="C41" s="7"/>
      <c r="D41" s="7"/>
      <c r="E41" s="8"/>
      <c r="F41" s="7"/>
      <c r="G41" s="7"/>
      <c r="H41" s="7"/>
      <c r="I41" s="22"/>
    </row>
    <row r="42" spans="1:9" x14ac:dyDescent="0.25">
      <c r="A42" s="7"/>
      <c r="B42" s="2" t="s">
        <v>300</v>
      </c>
      <c r="C42" s="7" t="s">
        <v>295</v>
      </c>
      <c r="D42" s="7">
        <v>2</v>
      </c>
      <c r="E42" s="8">
        <f>E35</f>
        <v>6</v>
      </c>
      <c r="F42" s="7">
        <f>F35</f>
        <v>6</v>
      </c>
      <c r="G42" s="7">
        <v>0.15</v>
      </c>
      <c r="H42" s="7" t="s">
        <v>22</v>
      </c>
      <c r="I42" s="22">
        <f>(D42*E42*F42*G42)</f>
        <v>10.799999999999999</v>
      </c>
    </row>
    <row r="43" spans="1:9" x14ac:dyDescent="0.25">
      <c r="A43" s="1"/>
      <c r="B43" s="73"/>
      <c r="C43" s="1"/>
      <c r="D43" s="1"/>
      <c r="E43" s="74"/>
      <c r="F43" s="1"/>
      <c r="G43" s="1"/>
      <c r="H43" s="1"/>
    </row>
    <row r="44" spans="1:9" ht="18.75" x14ac:dyDescent="0.25">
      <c r="A44" s="5">
        <v>2</v>
      </c>
      <c r="B44" s="16" t="s">
        <v>305</v>
      </c>
      <c r="C44" s="1"/>
      <c r="D44" s="1"/>
      <c r="E44" s="74"/>
      <c r="F44" s="1"/>
      <c r="G44" s="1"/>
      <c r="H44" s="1"/>
    </row>
    <row r="46" spans="1:9" ht="15.75" x14ac:dyDescent="0.25">
      <c r="B46" s="66"/>
      <c r="C46" s="66"/>
      <c r="D46" s="66"/>
      <c r="E46" s="193" t="s">
        <v>301</v>
      </c>
      <c r="F46" s="193"/>
      <c r="G46" s="66"/>
      <c r="H46" s="66"/>
      <c r="I46" s="66"/>
    </row>
    <row r="47" spans="1:9" ht="15.75" x14ac:dyDescent="0.25">
      <c r="B47" s="66"/>
      <c r="C47" s="66"/>
      <c r="D47" s="66"/>
      <c r="E47" s="71"/>
      <c r="F47" s="66"/>
      <c r="G47" s="66"/>
      <c r="H47" s="66" t="s">
        <v>279</v>
      </c>
      <c r="I47" s="66"/>
    </row>
    <row r="48" spans="1:9" ht="15.75" x14ac:dyDescent="0.25">
      <c r="B48" s="66"/>
      <c r="C48" s="66"/>
      <c r="D48" s="66"/>
      <c r="E48" s="66"/>
      <c r="F48" s="66"/>
      <c r="G48" s="66"/>
      <c r="H48" s="66" t="s">
        <v>280</v>
      </c>
      <c r="I48" s="67">
        <v>0.84</v>
      </c>
    </row>
    <row r="49" spans="2:9" ht="15.75" x14ac:dyDescent="0.25">
      <c r="B49" s="66"/>
      <c r="C49" s="66"/>
      <c r="D49" s="67">
        <v>0.75</v>
      </c>
      <c r="E49" s="66"/>
      <c r="F49" s="66"/>
      <c r="G49" s="66"/>
      <c r="H49" s="66"/>
      <c r="I49" s="67">
        <v>0.71</v>
      </c>
    </row>
    <row r="50" spans="2:9" ht="15.75" x14ac:dyDescent="0.25">
      <c r="B50" s="66"/>
      <c r="C50" s="66"/>
      <c r="D50" s="67" t="s">
        <v>44</v>
      </c>
      <c r="E50" s="66"/>
      <c r="F50" s="66"/>
      <c r="G50" s="66"/>
      <c r="H50" s="66" t="s">
        <v>281</v>
      </c>
      <c r="I50" s="66"/>
    </row>
    <row r="51" spans="2:9" ht="15.75" x14ac:dyDescent="0.25">
      <c r="B51" s="66"/>
      <c r="C51" s="66"/>
      <c r="D51" s="67">
        <v>0.75</v>
      </c>
      <c r="E51" s="66"/>
      <c r="F51" s="66"/>
      <c r="G51" s="66"/>
      <c r="H51" s="66"/>
      <c r="I51" s="66"/>
    </row>
    <row r="52" spans="2:9" ht="15.75" x14ac:dyDescent="0.25">
      <c r="B52" s="66"/>
      <c r="C52" s="66"/>
      <c r="D52" s="66"/>
      <c r="E52" s="66"/>
      <c r="F52" s="66"/>
      <c r="G52" s="66"/>
      <c r="H52" s="66"/>
      <c r="I52" s="66"/>
    </row>
    <row r="53" spans="2:9" ht="15.75" x14ac:dyDescent="0.25">
      <c r="B53" s="72">
        <v>4.3</v>
      </c>
      <c r="C53" s="66"/>
      <c r="D53" s="66"/>
      <c r="E53" s="66"/>
      <c r="F53" s="66"/>
      <c r="G53" s="66"/>
      <c r="H53" s="66"/>
      <c r="I53" s="69">
        <v>1.7</v>
      </c>
    </row>
    <row r="54" spans="2:9" ht="15.75" x14ac:dyDescent="0.25">
      <c r="B54" s="66"/>
      <c r="C54" s="66"/>
      <c r="D54" s="66"/>
      <c r="E54" s="66"/>
      <c r="F54" s="66"/>
      <c r="G54" s="66"/>
      <c r="H54" s="66"/>
      <c r="I54" s="66"/>
    </row>
    <row r="55" spans="2:9" ht="15.75" x14ac:dyDescent="0.25">
      <c r="B55" s="66"/>
      <c r="C55" s="66"/>
      <c r="D55" s="66"/>
      <c r="E55" s="66"/>
      <c r="F55" s="66"/>
      <c r="G55" s="66"/>
      <c r="H55" s="67"/>
      <c r="I55" s="66"/>
    </row>
    <row r="56" spans="2:9" ht="15.75" x14ac:dyDescent="0.25">
      <c r="B56" s="66"/>
      <c r="C56" s="66"/>
      <c r="D56" s="66"/>
      <c r="E56" s="66"/>
      <c r="F56" s="66"/>
      <c r="G56" s="66"/>
      <c r="H56" s="66"/>
      <c r="I56" s="66"/>
    </row>
    <row r="57" spans="2:9" ht="15.75" x14ac:dyDescent="0.25">
      <c r="B57" s="66"/>
      <c r="C57" s="66"/>
      <c r="D57" s="66"/>
      <c r="E57" s="66"/>
      <c r="F57" s="66"/>
      <c r="G57" s="66"/>
      <c r="H57" s="66"/>
      <c r="I57" s="67">
        <v>0.75</v>
      </c>
    </row>
    <row r="58" spans="2:9" ht="15.75" x14ac:dyDescent="0.25">
      <c r="B58" s="66"/>
      <c r="C58" s="66"/>
      <c r="D58" s="66"/>
      <c r="E58" s="66"/>
      <c r="F58" s="66"/>
      <c r="G58" s="66"/>
      <c r="H58" s="66"/>
      <c r="I58" s="66"/>
    </row>
    <row r="59" spans="2:9" ht="15.75" x14ac:dyDescent="0.25">
      <c r="B59" s="66"/>
      <c r="C59" s="66"/>
      <c r="D59" s="66"/>
      <c r="E59" s="66" t="s">
        <v>282</v>
      </c>
      <c r="F59" s="66"/>
      <c r="G59" s="66"/>
      <c r="H59" s="66"/>
      <c r="I59" s="67">
        <v>0.15</v>
      </c>
    </row>
    <row r="60" spans="2:9" ht="15.75" x14ac:dyDescent="0.25">
      <c r="B60" s="66"/>
      <c r="C60" s="66"/>
      <c r="D60" s="66"/>
      <c r="E60" s="66" t="s">
        <v>283</v>
      </c>
      <c r="F60" s="66"/>
      <c r="G60" s="66"/>
      <c r="H60" s="66"/>
      <c r="I60" s="67">
        <v>0.15</v>
      </c>
    </row>
    <row r="61" spans="2:9" ht="15.75" x14ac:dyDescent="0.25">
      <c r="B61" s="66"/>
      <c r="C61" s="66"/>
      <c r="D61" s="66"/>
      <c r="E61" s="67" t="s">
        <v>302</v>
      </c>
      <c r="F61" s="67"/>
      <c r="G61" s="67"/>
      <c r="H61" s="66"/>
      <c r="I61" s="66"/>
    </row>
    <row r="62" spans="2:9" ht="15.75" x14ac:dyDescent="0.25">
      <c r="B62" s="66"/>
      <c r="C62" s="66"/>
      <c r="D62" s="66"/>
      <c r="E62" s="66"/>
      <c r="F62" s="66"/>
      <c r="G62" s="66"/>
      <c r="H62" s="66"/>
      <c r="I62" s="66"/>
    </row>
    <row r="63" spans="2:9" ht="15.75" x14ac:dyDescent="0.25">
      <c r="B63" s="66" t="s">
        <v>285</v>
      </c>
      <c r="C63" s="66"/>
      <c r="D63" s="67">
        <v>0.75</v>
      </c>
      <c r="E63" s="67" t="s">
        <v>44</v>
      </c>
      <c r="F63" s="67">
        <v>0.75</v>
      </c>
      <c r="G63" s="67" t="s">
        <v>44</v>
      </c>
      <c r="H63" s="69">
        <v>3.25</v>
      </c>
      <c r="I63" s="66" t="s">
        <v>13</v>
      </c>
    </row>
    <row r="64" spans="2:9" ht="15.75" x14ac:dyDescent="0.25">
      <c r="B64" s="66" t="s">
        <v>303</v>
      </c>
      <c r="C64" s="66"/>
      <c r="D64" s="67">
        <v>5.5</v>
      </c>
      <c r="E64" s="67" t="s">
        <v>44</v>
      </c>
      <c r="F64" s="67">
        <v>4.5</v>
      </c>
      <c r="G64" s="67" t="s">
        <v>44</v>
      </c>
      <c r="H64" s="67">
        <v>0.75</v>
      </c>
      <c r="I64" s="66" t="s">
        <v>13</v>
      </c>
    </row>
    <row r="65" spans="1:9" ht="15.75" x14ac:dyDescent="0.25">
      <c r="B65" s="66" t="s">
        <v>287</v>
      </c>
      <c r="C65" s="66"/>
      <c r="D65" s="66"/>
      <c r="E65" s="66"/>
      <c r="F65" s="66"/>
      <c r="G65" s="67" t="s">
        <v>8</v>
      </c>
      <c r="H65" s="66">
        <v>0.84</v>
      </c>
      <c r="I65" s="66" t="s">
        <v>13</v>
      </c>
    </row>
    <row r="66" spans="1:9" ht="15.75" x14ac:dyDescent="0.25">
      <c r="B66" s="66" t="s">
        <v>288</v>
      </c>
      <c r="C66" s="66"/>
      <c r="D66" s="66"/>
      <c r="E66" s="66"/>
      <c r="F66" s="66"/>
      <c r="G66" s="67" t="s">
        <v>8</v>
      </c>
      <c r="H66" s="66">
        <v>0.71</v>
      </c>
      <c r="I66" s="66" t="s">
        <v>13</v>
      </c>
    </row>
    <row r="67" spans="1:9" ht="15.75" x14ac:dyDescent="0.25">
      <c r="B67" s="66" t="s">
        <v>304</v>
      </c>
      <c r="C67" s="66"/>
      <c r="D67" s="66"/>
      <c r="E67" s="66"/>
      <c r="F67" s="66"/>
      <c r="G67" s="67" t="s">
        <v>8</v>
      </c>
      <c r="H67" s="70">
        <v>4</v>
      </c>
      <c r="I67" s="66" t="s">
        <v>13</v>
      </c>
    </row>
    <row r="68" spans="1:9" ht="15.75" x14ac:dyDescent="0.25">
      <c r="B68" s="66" t="s">
        <v>289</v>
      </c>
      <c r="C68" s="66"/>
      <c r="D68" s="66"/>
      <c r="E68" s="66"/>
      <c r="F68" s="66"/>
      <c r="G68" s="67" t="s">
        <v>8</v>
      </c>
      <c r="H68" s="66">
        <v>0.15</v>
      </c>
      <c r="I68" s="66" t="s">
        <v>13</v>
      </c>
    </row>
    <row r="69" spans="1:9" ht="15.75" x14ac:dyDescent="0.25">
      <c r="B69" s="66" t="s">
        <v>290</v>
      </c>
      <c r="C69" s="66"/>
      <c r="D69" s="66"/>
      <c r="E69" s="66"/>
      <c r="F69" s="66"/>
      <c r="G69" s="67" t="s">
        <v>8</v>
      </c>
      <c r="H69" s="66">
        <v>0.15</v>
      </c>
      <c r="I69" s="66" t="s">
        <v>13</v>
      </c>
    </row>
    <row r="70" spans="1:9" ht="15.75" x14ac:dyDescent="0.25">
      <c r="B70" s="66" t="s">
        <v>291</v>
      </c>
      <c r="C70" s="66"/>
      <c r="D70" s="66"/>
      <c r="E70" s="66"/>
      <c r="F70" s="66"/>
      <c r="G70" s="67" t="s">
        <v>8</v>
      </c>
      <c r="H70" s="70">
        <v>4.3</v>
      </c>
      <c r="I70" s="66" t="s">
        <v>13</v>
      </c>
    </row>
    <row r="71" spans="1:9" ht="15.75" x14ac:dyDescent="0.25">
      <c r="B71" s="66" t="s">
        <v>292</v>
      </c>
      <c r="C71" s="66"/>
      <c r="D71" s="66"/>
      <c r="E71" s="66"/>
      <c r="F71" s="67">
        <v>3</v>
      </c>
      <c r="G71" s="67" t="s">
        <v>44</v>
      </c>
      <c r="H71" s="69">
        <v>2</v>
      </c>
      <c r="I71" s="66" t="s">
        <v>13</v>
      </c>
    </row>
    <row r="73" spans="1:9" ht="15.75" x14ac:dyDescent="0.25">
      <c r="A73" s="11" t="s">
        <v>23</v>
      </c>
    </row>
    <row r="75" spans="1:9" ht="15.75" x14ac:dyDescent="0.25">
      <c r="A75" s="3" t="s">
        <v>2</v>
      </c>
      <c r="B75" s="3" t="s">
        <v>0</v>
      </c>
      <c r="C75" s="3" t="s">
        <v>1</v>
      </c>
      <c r="D75" s="3" t="s">
        <v>21</v>
      </c>
      <c r="E75" s="3" t="s">
        <v>15</v>
      </c>
      <c r="F75" s="3" t="s">
        <v>16</v>
      </c>
      <c r="G75" s="3" t="s">
        <v>18</v>
      </c>
      <c r="H75" s="3" t="s">
        <v>17</v>
      </c>
      <c r="I75" s="3" t="s">
        <v>6</v>
      </c>
    </row>
    <row r="76" spans="1:9" ht="15.75" x14ac:dyDescent="0.25">
      <c r="A76" s="4">
        <v>1</v>
      </c>
      <c r="B76" s="12" t="s">
        <v>293</v>
      </c>
      <c r="C76" s="3"/>
      <c r="D76" s="3"/>
      <c r="E76" s="3"/>
      <c r="F76" s="3"/>
      <c r="G76" s="3"/>
      <c r="H76" s="3"/>
      <c r="I76" s="3"/>
    </row>
    <row r="77" spans="1:9" x14ac:dyDescent="0.25">
      <c r="A77" s="6"/>
      <c r="B77" s="2" t="s">
        <v>294</v>
      </c>
      <c r="C77" s="7" t="s">
        <v>295</v>
      </c>
      <c r="D77" s="7">
        <v>4</v>
      </c>
      <c r="E77" s="8">
        <v>5.5</v>
      </c>
      <c r="F77" s="7">
        <v>4.5</v>
      </c>
      <c r="G77" s="7">
        <v>0.15</v>
      </c>
      <c r="H77" s="7" t="s">
        <v>22</v>
      </c>
      <c r="I77" s="22">
        <f>(D77*E77*F77*G77)</f>
        <v>14.85</v>
      </c>
    </row>
    <row r="78" spans="1:9" x14ac:dyDescent="0.25">
      <c r="A78" s="7"/>
      <c r="B78" s="7"/>
      <c r="C78" s="7"/>
      <c r="D78" s="7"/>
      <c r="E78" s="8"/>
      <c r="F78" s="7"/>
      <c r="G78" s="7"/>
      <c r="H78" s="7"/>
      <c r="I78" s="22"/>
    </row>
    <row r="79" spans="1:9" ht="15.75" x14ac:dyDescent="0.25">
      <c r="A79" s="7">
        <v>2</v>
      </c>
      <c r="B79" s="13" t="s">
        <v>297</v>
      </c>
      <c r="C79" s="7"/>
      <c r="D79" s="7"/>
      <c r="E79" s="8"/>
      <c r="F79" s="7"/>
      <c r="G79" s="7"/>
      <c r="H79" s="7"/>
      <c r="I79" s="22"/>
    </row>
    <row r="80" spans="1:9" x14ac:dyDescent="0.25">
      <c r="A80" s="7"/>
      <c r="B80" s="2" t="s">
        <v>296</v>
      </c>
      <c r="C80" s="7" t="s">
        <v>295</v>
      </c>
      <c r="D80" s="7">
        <v>4</v>
      </c>
      <c r="E80" s="8">
        <v>5.5</v>
      </c>
      <c r="F80" s="7">
        <v>4.5</v>
      </c>
      <c r="G80" s="7">
        <v>0.75</v>
      </c>
      <c r="H80" s="7" t="s">
        <v>22</v>
      </c>
      <c r="I80" s="22">
        <f>(D80*E80*F80*G80)</f>
        <v>74.25</v>
      </c>
    </row>
    <row r="81" spans="1:9" x14ac:dyDescent="0.25">
      <c r="A81" s="7"/>
      <c r="B81" s="2" t="s">
        <v>298</v>
      </c>
      <c r="C81" s="7" t="s">
        <v>295</v>
      </c>
      <c r="D81" s="7">
        <f>2*4*2</f>
        <v>16</v>
      </c>
      <c r="E81" s="8">
        <v>0.75</v>
      </c>
      <c r="F81" s="7">
        <v>0.75</v>
      </c>
      <c r="G81" s="7">
        <f>3.25+0.3</f>
        <v>3.55</v>
      </c>
      <c r="H81" s="7" t="s">
        <v>22</v>
      </c>
      <c r="I81" s="22">
        <f>(D81*E81*F81*G81)</f>
        <v>31.95</v>
      </c>
    </row>
    <row r="82" spans="1:9" x14ac:dyDescent="0.25">
      <c r="A82" s="7"/>
      <c r="B82" s="2"/>
      <c r="C82" s="7"/>
      <c r="D82" s="7"/>
      <c r="E82" s="8"/>
      <c r="F82" s="7"/>
      <c r="G82" s="7"/>
      <c r="H82" s="7"/>
      <c r="I82" s="22"/>
    </row>
    <row r="83" spans="1:9" ht="15.75" x14ac:dyDescent="0.25">
      <c r="A83" s="7">
        <v>3</v>
      </c>
      <c r="B83" s="13" t="s">
        <v>299</v>
      </c>
      <c r="C83" s="7"/>
      <c r="D83" s="7"/>
      <c r="E83" s="8"/>
      <c r="F83" s="7"/>
      <c r="G83" s="7"/>
      <c r="H83" s="7"/>
      <c r="I83" s="22"/>
    </row>
    <row r="84" spans="1:9" x14ac:dyDescent="0.25">
      <c r="A84" s="7"/>
      <c r="B84" s="2" t="s">
        <v>300</v>
      </c>
      <c r="C84" s="7" t="s">
        <v>295</v>
      </c>
      <c r="D84" s="7">
        <v>4</v>
      </c>
      <c r="E84" s="8">
        <f>E77</f>
        <v>5.5</v>
      </c>
      <c r="F84" s="7">
        <f>F77</f>
        <v>4.5</v>
      </c>
      <c r="G84" s="7">
        <v>0.15</v>
      </c>
      <c r="H84" s="7" t="s">
        <v>22</v>
      </c>
      <c r="I84" s="22">
        <f>(D84*E84*F84*G84)</f>
        <v>14.85</v>
      </c>
    </row>
    <row r="86" spans="1:9" x14ac:dyDescent="0.25">
      <c r="C86" s="1"/>
      <c r="D86" s="1"/>
      <c r="E86" s="74"/>
      <c r="F86" s="1"/>
      <c r="G86" s="1"/>
      <c r="H86" s="1"/>
    </row>
    <row r="87" spans="1:9" ht="18.75" x14ac:dyDescent="0.25">
      <c r="A87" s="5">
        <v>3</v>
      </c>
      <c r="B87" s="16" t="s">
        <v>307</v>
      </c>
      <c r="C87" s="66"/>
      <c r="D87" s="66"/>
      <c r="E87" s="66"/>
      <c r="F87" s="66"/>
      <c r="G87" s="66"/>
    </row>
    <row r="88" spans="1:9" ht="15.75" x14ac:dyDescent="0.25">
      <c r="B88" s="66"/>
      <c r="C88" s="66"/>
      <c r="D88" s="66"/>
      <c r="E88" s="66"/>
      <c r="F88" s="66" t="s">
        <v>279</v>
      </c>
      <c r="G88" s="66"/>
    </row>
    <row r="89" spans="1:9" ht="15.75" x14ac:dyDescent="0.25">
      <c r="B89" s="66"/>
      <c r="C89" s="66"/>
      <c r="D89" s="66"/>
      <c r="E89" s="66"/>
      <c r="F89" s="66"/>
      <c r="G89" s="67"/>
    </row>
    <row r="90" spans="1:9" ht="15.75" x14ac:dyDescent="0.25">
      <c r="B90" s="66"/>
      <c r="C90" s="66"/>
      <c r="D90" s="67">
        <v>0.45</v>
      </c>
      <c r="E90" s="66"/>
      <c r="F90" s="66"/>
      <c r="G90" s="67"/>
    </row>
    <row r="91" spans="1:9" ht="15.75" x14ac:dyDescent="0.25">
      <c r="B91" s="66"/>
      <c r="C91" s="66"/>
      <c r="D91" s="67" t="s">
        <v>44</v>
      </c>
      <c r="E91" s="66"/>
      <c r="F91" s="66"/>
      <c r="G91" s="67">
        <v>1</v>
      </c>
    </row>
    <row r="92" spans="1:9" ht="15.75" x14ac:dyDescent="0.25">
      <c r="B92" s="66"/>
      <c r="C92" s="66"/>
      <c r="D92" s="67">
        <v>0.45</v>
      </c>
      <c r="E92" s="66"/>
      <c r="F92" s="66"/>
      <c r="G92" s="66"/>
    </row>
    <row r="93" spans="1:9" ht="15.75" x14ac:dyDescent="0.25">
      <c r="B93" s="66"/>
      <c r="C93" s="66"/>
      <c r="D93" s="66"/>
      <c r="E93" s="66"/>
      <c r="F93" s="66"/>
      <c r="G93" s="66"/>
    </row>
    <row r="94" spans="1:9" ht="15.75" x14ac:dyDescent="0.25">
      <c r="B94" s="72">
        <v>2.8</v>
      </c>
      <c r="C94" s="66"/>
      <c r="D94" s="66"/>
      <c r="E94" s="66"/>
      <c r="F94" s="66"/>
      <c r="G94" s="66"/>
    </row>
    <row r="95" spans="1:9" ht="15.75" x14ac:dyDescent="0.25">
      <c r="B95" s="66"/>
      <c r="C95" s="67">
        <v>0.75</v>
      </c>
      <c r="D95" s="67" t="s">
        <v>44</v>
      </c>
      <c r="E95" s="67">
        <v>0.75</v>
      </c>
      <c r="F95" s="66"/>
      <c r="G95" s="66"/>
    </row>
    <row r="96" spans="1:9" ht="15.75" x14ac:dyDescent="0.25">
      <c r="B96" s="66"/>
      <c r="F96" s="67"/>
      <c r="G96" s="67">
        <v>1.5</v>
      </c>
    </row>
    <row r="97" spans="1:9" ht="15.75" x14ac:dyDescent="0.25">
      <c r="B97" s="66"/>
      <c r="C97" s="66"/>
      <c r="D97" s="66"/>
      <c r="E97" s="66"/>
      <c r="F97" s="66"/>
      <c r="G97" s="66"/>
    </row>
    <row r="98" spans="1:9" ht="15.75" x14ac:dyDescent="0.25">
      <c r="B98" s="66"/>
      <c r="C98" s="66"/>
      <c r="D98" s="66" t="s">
        <v>282</v>
      </c>
      <c r="E98" s="66"/>
      <c r="F98" s="66"/>
      <c r="G98" s="67">
        <v>0.15</v>
      </c>
    </row>
    <row r="99" spans="1:9" ht="15.75" x14ac:dyDescent="0.25">
      <c r="B99" s="66"/>
      <c r="C99" s="66"/>
      <c r="D99" s="66" t="s">
        <v>283</v>
      </c>
      <c r="E99" s="66"/>
      <c r="F99" s="66"/>
      <c r="G99" s="67">
        <v>0.15</v>
      </c>
    </row>
    <row r="100" spans="1:9" ht="15.75" x14ac:dyDescent="0.25">
      <c r="B100" s="66"/>
      <c r="C100" s="66"/>
      <c r="D100" t="s">
        <v>308</v>
      </c>
      <c r="E100" s="66"/>
      <c r="F100" s="66"/>
    </row>
    <row r="101" spans="1:9" ht="15.75" x14ac:dyDescent="0.25">
      <c r="B101" s="66"/>
      <c r="C101" s="66"/>
      <c r="E101" s="66"/>
      <c r="F101" s="66"/>
    </row>
    <row r="102" spans="1:9" ht="15.75" x14ac:dyDescent="0.25">
      <c r="B102" s="66" t="s">
        <v>285</v>
      </c>
      <c r="C102" s="66"/>
      <c r="D102" s="67">
        <v>0.45</v>
      </c>
      <c r="E102" s="67" t="s">
        <v>44</v>
      </c>
      <c r="F102" s="67">
        <v>0.45</v>
      </c>
      <c r="G102" s="67" t="s">
        <v>44</v>
      </c>
      <c r="H102" s="69">
        <v>1</v>
      </c>
      <c r="I102" s="66" t="s">
        <v>13</v>
      </c>
    </row>
    <row r="103" spans="1:9" ht="15.75" x14ac:dyDescent="0.25">
      <c r="B103" s="66" t="s">
        <v>303</v>
      </c>
      <c r="C103" s="66"/>
      <c r="D103" s="67">
        <v>0.75</v>
      </c>
      <c r="E103" s="67" t="s">
        <v>44</v>
      </c>
      <c r="F103" s="67">
        <v>0.75</v>
      </c>
      <c r="G103" s="67" t="s">
        <v>44</v>
      </c>
      <c r="H103" s="67">
        <v>1.5</v>
      </c>
      <c r="I103" s="66" t="s">
        <v>13</v>
      </c>
    </row>
    <row r="104" spans="1:9" ht="15.75" x14ac:dyDescent="0.25">
      <c r="B104" s="66" t="s">
        <v>287</v>
      </c>
      <c r="C104" s="66"/>
      <c r="D104" s="66"/>
      <c r="E104" s="66"/>
      <c r="F104" s="66"/>
      <c r="G104" s="67" t="s">
        <v>8</v>
      </c>
      <c r="H104" s="66">
        <v>0.84</v>
      </c>
      <c r="I104" s="66" t="s">
        <v>13</v>
      </c>
    </row>
    <row r="105" spans="1:9" ht="15.75" x14ac:dyDescent="0.25">
      <c r="B105" s="66" t="s">
        <v>304</v>
      </c>
      <c r="C105" s="66"/>
      <c r="D105" s="66"/>
      <c r="E105" s="66"/>
      <c r="F105" s="66"/>
      <c r="G105" s="67" t="s">
        <v>8</v>
      </c>
      <c r="H105" s="70">
        <v>2.5</v>
      </c>
      <c r="I105" s="66" t="s">
        <v>13</v>
      </c>
    </row>
    <row r="106" spans="1:9" ht="15.75" x14ac:dyDescent="0.25">
      <c r="B106" s="66" t="s">
        <v>289</v>
      </c>
      <c r="C106" s="66"/>
      <c r="D106" s="66"/>
      <c r="E106" s="66"/>
      <c r="F106" s="66"/>
      <c r="G106" s="67" t="s">
        <v>8</v>
      </c>
      <c r="H106" s="66">
        <v>0.15</v>
      </c>
      <c r="I106" s="66" t="s">
        <v>13</v>
      </c>
    </row>
    <row r="107" spans="1:9" ht="15.75" x14ac:dyDescent="0.25">
      <c r="B107" s="66" t="s">
        <v>290</v>
      </c>
      <c r="C107" s="66"/>
      <c r="D107" s="66"/>
      <c r="E107" s="66"/>
      <c r="F107" s="66"/>
      <c r="G107" s="67" t="s">
        <v>8</v>
      </c>
      <c r="H107" s="66">
        <v>0.15</v>
      </c>
      <c r="I107" s="66" t="s">
        <v>13</v>
      </c>
    </row>
    <row r="108" spans="1:9" ht="15.75" x14ac:dyDescent="0.25">
      <c r="B108" s="66" t="s">
        <v>291</v>
      </c>
      <c r="C108" s="66"/>
      <c r="D108" s="66"/>
      <c r="E108" s="66"/>
      <c r="F108" s="66"/>
      <c r="G108" s="67" t="s">
        <v>8</v>
      </c>
      <c r="H108" s="70">
        <v>2.8</v>
      </c>
      <c r="I108" s="66" t="s">
        <v>13</v>
      </c>
    </row>
    <row r="109" spans="1:9" ht="15.75" x14ac:dyDescent="0.25">
      <c r="B109" s="66" t="s">
        <v>292</v>
      </c>
      <c r="C109" s="66"/>
      <c r="D109" s="66"/>
      <c r="E109" s="66"/>
      <c r="F109" s="67"/>
      <c r="G109" s="67" t="s">
        <v>8</v>
      </c>
      <c r="H109" s="72">
        <v>3</v>
      </c>
      <c r="I109" s="66" t="s">
        <v>13</v>
      </c>
    </row>
    <row r="111" spans="1:9" ht="15.75" x14ac:dyDescent="0.25">
      <c r="A111" s="11" t="s">
        <v>23</v>
      </c>
    </row>
    <row r="112" spans="1:9" ht="15.75" x14ac:dyDescent="0.25">
      <c r="A112" s="3" t="s">
        <v>2</v>
      </c>
      <c r="B112" s="3" t="s">
        <v>0</v>
      </c>
      <c r="C112" s="3" t="s">
        <v>1</v>
      </c>
      <c r="D112" s="3" t="s">
        <v>21</v>
      </c>
      <c r="E112" s="3" t="s">
        <v>15</v>
      </c>
      <c r="F112" s="3" t="s">
        <v>16</v>
      </c>
      <c r="G112" s="3" t="s">
        <v>18</v>
      </c>
      <c r="H112" s="3" t="s">
        <v>17</v>
      </c>
      <c r="I112" s="3" t="s">
        <v>6</v>
      </c>
    </row>
    <row r="113" spans="1:9" ht="15.75" x14ac:dyDescent="0.25">
      <c r="A113" s="4">
        <v>1</v>
      </c>
      <c r="B113" s="12" t="s">
        <v>293</v>
      </c>
      <c r="C113" s="3"/>
      <c r="D113" s="3"/>
      <c r="E113" s="3"/>
      <c r="F113" s="3"/>
      <c r="G113" s="3"/>
      <c r="H113" s="3"/>
      <c r="I113" s="3"/>
    </row>
    <row r="114" spans="1:9" x14ac:dyDescent="0.25">
      <c r="A114" s="6"/>
      <c r="B114" s="2" t="s">
        <v>294</v>
      </c>
      <c r="C114" s="7" t="s">
        <v>295</v>
      </c>
      <c r="D114" s="7">
        <v>2</v>
      </c>
      <c r="E114" s="8">
        <v>4.5</v>
      </c>
      <c r="F114" s="7">
        <v>1.05</v>
      </c>
      <c r="G114" s="7">
        <v>0.15</v>
      </c>
      <c r="H114" s="7" t="s">
        <v>22</v>
      </c>
      <c r="I114" s="22">
        <f>(D114*E114*F114*G114)</f>
        <v>1.4175000000000002</v>
      </c>
    </row>
    <row r="115" spans="1:9" x14ac:dyDescent="0.25">
      <c r="A115" s="7"/>
      <c r="B115" s="7"/>
      <c r="C115" s="7"/>
      <c r="D115" s="7"/>
      <c r="E115" s="8"/>
      <c r="F115" s="7"/>
      <c r="G115" s="7"/>
      <c r="H115" s="7"/>
      <c r="I115" s="22"/>
    </row>
    <row r="116" spans="1:9" ht="15.75" x14ac:dyDescent="0.25">
      <c r="A116" s="7">
        <v>2</v>
      </c>
      <c r="B116" s="13" t="s">
        <v>297</v>
      </c>
      <c r="C116" s="7"/>
      <c r="D116" s="7"/>
      <c r="E116" s="8"/>
      <c r="F116" s="7"/>
      <c r="G116" s="7"/>
      <c r="H116" s="7"/>
      <c r="I116" s="22"/>
    </row>
    <row r="117" spans="1:9" x14ac:dyDescent="0.25">
      <c r="A117" s="7"/>
      <c r="B117" s="2" t="s">
        <v>296</v>
      </c>
      <c r="C117" s="7" t="s">
        <v>295</v>
      </c>
      <c r="D117" s="7">
        <v>2</v>
      </c>
      <c r="E117" s="8">
        <v>4.5</v>
      </c>
      <c r="F117" s="7">
        <v>0.75</v>
      </c>
      <c r="G117" s="7">
        <v>1.5</v>
      </c>
      <c r="H117" s="7" t="s">
        <v>22</v>
      </c>
      <c r="I117" s="22">
        <f>(D117*E117*F117*G117)</f>
        <v>10.125</v>
      </c>
    </row>
    <row r="118" spans="1:9" x14ac:dyDescent="0.25">
      <c r="A118" s="7"/>
      <c r="B118" s="2" t="s">
        <v>298</v>
      </c>
      <c r="C118" s="7" t="s">
        <v>295</v>
      </c>
      <c r="D118" s="7">
        <v>4</v>
      </c>
      <c r="E118" s="8">
        <v>0.45</v>
      </c>
      <c r="F118" s="7">
        <v>0.45</v>
      </c>
      <c r="G118" s="7">
        <v>1</v>
      </c>
      <c r="H118" s="7" t="s">
        <v>22</v>
      </c>
      <c r="I118" s="22">
        <f>(D118*E118*F118*G118)</f>
        <v>0.81</v>
      </c>
    </row>
    <row r="119" spans="1:9" x14ac:dyDescent="0.25">
      <c r="A119" s="7"/>
      <c r="B119" s="2"/>
      <c r="C119" s="7"/>
      <c r="D119" s="7"/>
      <c r="E119" s="8"/>
      <c r="F119" s="7"/>
      <c r="G119" s="7"/>
      <c r="H119" s="7"/>
      <c r="I119" s="22"/>
    </row>
    <row r="120" spans="1:9" ht="15.75" x14ac:dyDescent="0.25">
      <c r="A120" s="7">
        <v>3</v>
      </c>
      <c r="B120" s="13" t="s">
        <v>299</v>
      </c>
      <c r="C120" s="7"/>
      <c r="D120" s="7"/>
      <c r="E120" s="8"/>
      <c r="F120" s="7"/>
      <c r="G120" s="7"/>
      <c r="H120" s="7"/>
      <c r="I120" s="22"/>
    </row>
    <row r="121" spans="1:9" x14ac:dyDescent="0.25">
      <c r="A121" s="7"/>
      <c r="B121" s="2" t="s">
        <v>300</v>
      </c>
      <c r="C121" s="7" t="s">
        <v>295</v>
      </c>
      <c r="D121" s="7">
        <v>2</v>
      </c>
      <c r="E121" s="8">
        <v>4.5</v>
      </c>
      <c r="F121" s="7">
        <f>F114</f>
        <v>1.05</v>
      </c>
      <c r="G121" s="7">
        <v>0.15</v>
      </c>
      <c r="H121" s="7" t="s">
        <v>22</v>
      </c>
      <c r="I121" s="22">
        <f>(D121*E121*F121*G121)</f>
        <v>1.4175000000000002</v>
      </c>
    </row>
    <row r="122" spans="1:9" x14ac:dyDescent="0.25">
      <c r="A122" s="1"/>
      <c r="B122" s="73"/>
      <c r="C122" s="1"/>
      <c r="D122" s="1"/>
      <c r="E122" s="74"/>
      <c r="F122" s="1"/>
      <c r="G122" s="1"/>
      <c r="H122" s="1"/>
      <c r="I122" s="76"/>
    </row>
    <row r="123" spans="1:9" ht="15.75" x14ac:dyDescent="0.25">
      <c r="A123" s="18" t="s">
        <v>330</v>
      </c>
    </row>
    <row r="125" spans="1:9" ht="15" customHeight="1" x14ac:dyDescent="0.25">
      <c r="A125" s="77" t="s">
        <v>328</v>
      </c>
      <c r="B125" s="77" t="s">
        <v>329</v>
      </c>
      <c r="C125" s="77" t="s">
        <v>1</v>
      </c>
      <c r="D125" s="194" t="s">
        <v>323</v>
      </c>
      <c r="E125" s="194"/>
      <c r="F125" s="194" t="s">
        <v>324</v>
      </c>
      <c r="G125" s="194"/>
      <c r="H125" s="194" t="s">
        <v>325</v>
      </c>
      <c r="I125" s="194"/>
    </row>
    <row r="126" spans="1:9" ht="15.6" customHeight="1" x14ac:dyDescent="0.25">
      <c r="A126" s="6">
        <v>1</v>
      </c>
      <c r="B126" s="79" t="s">
        <v>326</v>
      </c>
      <c r="C126" s="6" t="s">
        <v>295</v>
      </c>
      <c r="D126" s="191">
        <f>I35</f>
        <v>10.799999999999999</v>
      </c>
      <c r="E126" s="192"/>
      <c r="F126" s="191">
        <f>SUM(I38:I39)</f>
        <v>107.3</v>
      </c>
      <c r="G126" s="192"/>
      <c r="H126" s="191">
        <f>I42</f>
        <v>10.799999999999999</v>
      </c>
      <c r="I126" s="192"/>
    </row>
    <row r="127" spans="1:9" ht="28.15" customHeight="1" x14ac:dyDescent="0.25">
      <c r="A127" s="6">
        <v>2</v>
      </c>
      <c r="B127" s="78" t="s">
        <v>327</v>
      </c>
      <c r="C127" s="6" t="s">
        <v>295</v>
      </c>
      <c r="D127" s="191">
        <f>I77</f>
        <v>14.85</v>
      </c>
      <c r="E127" s="192"/>
      <c r="F127" s="191">
        <f>SUM(I80:I81)</f>
        <v>106.2</v>
      </c>
      <c r="G127" s="192"/>
      <c r="H127" s="191">
        <f>I84</f>
        <v>14.85</v>
      </c>
      <c r="I127" s="192"/>
    </row>
    <row r="128" spans="1:9" x14ac:dyDescent="0.25">
      <c r="A128" s="6">
        <v>3</v>
      </c>
      <c r="B128" s="79" t="s">
        <v>322</v>
      </c>
      <c r="C128" s="6" t="s">
        <v>295</v>
      </c>
      <c r="D128" s="191">
        <f>I114</f>
        <v>1.4175000000000002</v>
      </c>
      <c r="E128" s="192"/>
      <c r="F128" s="191">
        <f>SUM(I117:I118)</f>
        <v>10.935</v>
      </c>
      <c r="G128" s="192"/>
      <c r="H128" s="191">
        <f>I121</f>
        <v>1.4175000000000002</v>
      </c>
      <c r="I128" s="192"/>
    </row>
    <row r="129" spans="1:16" x14ac:dyDescent="0.25">
      <c r="A129" s="10"/>
      <c r="B129" s="77" t="s">
        <v>3</v>
      </c>
      <c r="C129" s="6" t="s">
        <v>295</v>
      </c>
      <c r="D129" s="195">
        <f>SUM(D126:E128)</f>
        <v>27.067499999999999</v>
      </c>
      <c r="E129" s="196"/>
      <c r="F129" s="195">
        <f>SUM(F126:G128)</f>
        <v>224.435</v>
      </c>
      <c r="G129" s="196"/>
      <c r="H129" s="195">
        <f>SUM(H126:I128)</f>
        <v>27.067499999999999</v>
      </c>
      <c r="I129" s="196"/>
      <c r="P129" s="85"/>
    </row>
    <row r="130" spans="1:16" x14ac:dyDescent="0.25">
      <c r="P130" s="85"/>
    </row>
    <row r="131" spans="1:16" x14ac:dyDescent="0.25">
      <c r="M131" s="15"/>
      <c r="P131" s="85"/>
    </row>
    <row r="132" spans="1:16" x14ac:dyDescent="0.25">
      <c r="P132" s="85"/>
    </row>
    <row r="135" spans="1:16" x14ac:dyDescent="0.25">
      <c r="E135">
        <f>D129*4*280</f>
        <v>30315.599999999999</v>
      </c>
      <c r="F135">
        <f>F129*8*280</f>
        <v>502734.4</v>
      </c>
      <c r="P135" s="85"/>
    </row>
    <row r="136" spans="1:16" x14ac:dyDescent="0.25">
      <c r="E136">
        <f>E135+F135</f>
        <v>533050</v>
      </c>
    </row>
    <row r="137" spans="1:16" x14ac:dyDescent="0.25">
      <c r="E137">
        <v>67245</v>
      </c>
      <c r="P137" s="85"/>
    </row>
    <row r="138" spans="1:16" x14ac:dyDescent="0.25">
      <c r="E138">
        <f>E136+E137</f>
        <v>600295</v>
      </c>
      <c r="P138" s="85"/>
    </row>
    <row r="139" spans="1:16" x14ac:dyDescent="0.25">
      <c r="P139" s="85"/>
    </row>
    <row r="140" spans="1:16" x14ac:dyDescent="0.25">
      <c r="P140" s="86"/>
    </row>
  </sheetData>
  <mergeCells count="17">
    <mergeCell ref="D129:E129"/>
    <mergeCell ref="F129:G129"/>
    <mergeCell ref="H129:I129"/>
    <mergeCell ref="A1:I1"/>
    <mergeCell ref="H127:I127"/>
    <mergeCell ref="H128:I128"/>
    <mergeCell ref="E46:F46"/>
    <mergeCell ref="D126:E126"/>
    <mergeCell ref="D127:E127"/>
    <mergeCell ref="D128:E128"/>
    <mergeCell ref="F126:G126"/>
    <mergeCell ref="F127:G127"/>
    <mergeCell ref="F128:G128"/>
    <mergeCell ref="D125:E125"/>
    <mergeCell ref="F125:G125"/>
    <mergeCell ref="H125:I125"/>
    <mergeCell ref="H126:I12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99"/>
  <sheetViews>
    <sheetView view="pageBreakPreview" zoomScaleSheetLayoutView="100" workbookViewId="0">
      <selection activeCell="E46" sqref="E46"/>
    </sheetView>
  </sheetViews>
  <sheetFormatPr defaultRowHeight="15" x14ac:dyDescent="0.25"/>
  <cols>
    <col min="1" max="1" width="4.7109375" customWidth="1"/>
    <col min="2" max="2" width="19.7109375" customWidth="1"/>
  </cols>
  <sheetData>
    <row r="1" spans="1:9" ht="18.75" x14ac:dyDescent="0.25">
      <c r="A1" s="190" t="s">
        <v>314</v>
      </c>
      <c r="B1" s="190"/>
      <c r="C1" s="190"/>
      <c r="D1" s="190"/>
      <c r="E1" s="190"/>
      <c r="F1" s="190"/>
      <c r="G1" s="190"/>
      <c r="H1" s="190"/>
      <c r="I1" s="190"/>
    </row>
    <row r="2" spans="1:9" ht="18.75" x14ac:dyDescent="0.25">
      <c r="A2" s="20"/>
      <c r="B2" s="20"/>
      <c r="C2" s="20"/>
      <c r="D2" s="20"/>
      <c r="E2" s="20"/>
      <c r="F2" s="20"/>
      <c r="G2" s="20"/>
      <c r="H2" s="20"/>
      <c r="I2" s="20"/>
    </row>
    <row r="3" spans="1:9" ht="18.75" x14ac:dyDescent="0.25">
      <c r="A3" s="5">
        <v>1</v>
      </c>
      <c r="B3" s="16" t="s">
        <v>306</v>
      </c>
      <c r="C3" s="20"/>
      <c r="D3" s="20"/>
      <c r="E3" s="20"/>
      <c r="F3" s="20"/>
      <c r="G3" s="20"/>
      <c r="H3" s="20"/>
      <c r="I3" s="20"/>
    </row>
    <row r="4" spans="1:9" ht="15.75" x14ac:dyDescent="0.25">
      <c r="B4" s="66"/>
      <c r="C4" s="66"/>
      <c r="D4" s="66"/>
      <c r="E4" s="67"/>
      <c r="F4" s="67"/>
      <c r="G4" s="67"/>
      <c r="H4" s="66"/>
      <c r="I4" s="66"/>
    </row>
    <row r="5" spans="1:9" ht="15.75" x14ac:dyDescent="0.25">
      <c r="B5" s="66" t="s">
        <v>285</v>
      </c>
      <c r="C5" s="66"/>
      <c r="D5" s="67">
        <v>1.25</v>
      </c>
      <c r="E5" s="67" t="s">
        <v>44</v>
      </c>
      <c r="F5" s="67">
        <v>1.25</v>
      </c>
      <c r="G5" s="67" t="s">
        <v>44</v>
      </c>
      <c r="H5" s="69">
        <v>3.1</v>
      </c>
      <c r="I5" s="66" t="s">
        <v>13</v>
      </c>
    </row>
    <row r="6" spans="1:9" ht="15.75" x14ac:dyDescent="0.25">
      <c r="B6" s="66" t="s">
        <v>334</v>
      </c>
      <c r="C6" s="66"/>
      <c r="D6" s="67">
        <v>6</v>
      </c>
      <c r="E6" s="67" t="s">
        <v>44</v>
      </c>
      <c r="F6" s="67">
        <v>6</v>
      </c>
      <c r="G6" s="67" t="s">
        <v>44</v>
      </c>
      <c r="H6" s="67">
        <v>0.9</v>
      </c>
      <c r="I6" s="66" t="s">
        <v>13</v>
      </c>
    </row>
    <row r="7" spans="1:9" ht="15.75" x14ac:dyDescent="0.25">
      <c r="B7" s="66" t="s">
        <v>289</v>
      </c>
      <c r="C7" s="66"/>
      <c r="D7" s="66"/>
      <c r="E7" s="66"/>
      <c r="F7" s="66"/>
      <c r="G7" s="67" t="s">
        <v>8</v>
      </c>
      <c r="H7" s="66">
        <v>0.15</v>
      </c>
      <c r="I7" s="66" t="s">
        <v>13</v>
      </c>
    </row>
    <row r="8" spans="1:9" ht="15.75" x14ac:dyDescent="0.25">
      <c r="B8" s="66" t="s">
        <v>290</v>
      </c>
      <c r="C8" s="66"/>
      <c r="D8" s="66"/>
      <c r="E8" s="66"/>
      <c r="F8" s="66"/>
      <c r="G8" s="67" t="s">
        <v>8</v>
      </c>
      <c r="H8" s="70">
        <v>0.15</v>
      </c>
      <c r="I8" s="66" t="s">
        <v>13</v>
      </c>
    </row>
    <row r="9" spans="1:9" ht="15.75" x14ac:dyDescent="0.25">
      <c r="B9" s="66" t="s">
        <v>291</v>
      </c>
      <c r="C9" s="66"/>
      <c r="D9" s="66"/>
      <c r="E9" s="66"/>
      <c r="F9" s="66"/>
      <c r="G9" s="67" t="s">
        <v>8</v>
      </c>
      <c r="H9" s="70">
        <f>SUM(H5:H8)</f>
        <v>4.3000000000000007</v>
      </c>
      <c r="I9" s="66" t="s">
        <v>13</v>
      </c>
    </row>
    <row r="10" spans="1:9" ht="15.75" x14ac:dyDescent="0.25">
      <c r="B10" s="66" t="s">
        <v>292</v>
      </c>
      <c r="C10" s="66"/>
      <c r="D10" s="66"/>
      <c r="E10" s="66"/>
      <c r="F10" s="66"/>
      <c r="G10" s="67" t="s">
        <v>8</v>
      </c>
      <c r="H10" s="70">
        <v>3</v>
      </c>
      <c r="I10" s="66" t="s">
        <v>13</v>
      </c>
    </row>
    <row r="11" spans="1:9" ht="15.75" x14ac:dyDescent="0.25">
      <c r="B11" s="66"/>
      <c r="C11" s="66"/>
      <c r="D11" s="66"/>
      <c r="E11" s="66"/>
      <c r="F11" s="66"/>
      <c r="G11" s="67"/>
      <c r="H11" s="70"/>
      <c r="I11" s="66"/>
    </row>
    <row r="12" spans="1:9" ht="18.75" x14ac:dyDescent="0.25">
      <c r="A12" s="5">
        <v>2</v>
      </c>
      <c r="B12" s="16" t="s">
        <v>305</v>
      </c>
      <c r="C12" s="1"/>
      <c r="D12" s="1"/>
      <c r="E12" s="66"/>
      <c r="F12" s="66"/>
      <c r="G12" s="67"/>
      <c r="H12" s="70"/>
      <c r="I12" s="66"/>
    </row>
    <row r="13" spans="1:9" ht="15.75" x14ac:dyDescent="0.25">
      <c r="B13" s="66"/>
      <c r="C13" s="66"/>
      <c r="D13" s="66"/>
      <c r="E13" s="66"/>
      <c r="F13" s="66"/>
      <c r="G13" s="67"/>
      <c r="H13" s="70"/>
      <c r="I13" s="66"/>
    </row>
    <row r="14" spans="1:9" ht="15.75" x14ac:dyDescent="0.25">
      <c r="B14" s="66" t="s">
        <v>285</v>
      </c>
      <c r="C14" s="66"/>
      <c r="D14" s="67">
        <v>0.75</v>
      </c>
      <c r="E14" s="67" t="s">
        <v>44</v>
      </c>
      <c r="F14" s="67">
        <v>0.75</v>
      </c>
      <c r="G14" s="67" t="s">
        <v>44</v>
      </c>
      <c r="H14" s="69">
        <v>3.25</v>
      </c>
      <c r="I14" s="66" t="s">
        <v>13</v>
      </c>
    </row>
    <row r="15" spans="1:9" ht="15.75" x14ac:dyDescent="0.25">
      <c r="B15" s="66" t="s">
        <v>303</v>
      </c>
      <c r="C15" s="66"/>
      <c r="D15" s="67">
        <v>5.5</v>
      </c>
      <c r="E15" s="67" t="s">
        <v>44</v>
      </c>
      <c r="F15" s="67">
        <v>4.5</v>
      </c>
      <c r="G15" s="67" t="s">
        <v>44</v>
      </c>
      <c r="H15" s="67">
        <v>0.75</v>
      </c>
      <c r="I15" s="66" t="s">
        <v>13</v>
      </c>
    </row>
    <row r="16" spans="1:9" ht="15.75" x14ac:dyDescent="0.25">
      <c r="B16" s="66" t="s">
        <v>304</v>
      </c>
      <c r="C16" s="66"/>
      <c r="D16" s="66"/>
      <c r="E16" s="66"/>
      <c r="F16" s="66"/>
      <c r="G16" s="67" t="s">
        <v>8</v>
      </c>
      <c r="H16" s="70">
        <v>4</v>
      </c>
      <c r="I16" s="66" t="s">
        <v>13</v>
      </c>
    </row>
    <row r="17" spans="1:9" ht="15.75" x14ac:dyDescent="0.25">
      <c r="B17" s="66" t="s">
        <v>289</v>
      </c>
      <c r="C17" s="66"/>
      <c r="D17" s="66"/>
      <c r="E17" s="66"/>
      <c r="F17" s="66"/>
      <c r="G17" s="67" t="s">
        <v>8</v>
      </c>
      <c r="H17" s="66">
        <v>0.15</v>
      </c>
      <c r="I17" s="66" t="s">
        <v>13</v>
      </c>
    </row>
    <row r="18" spans="1:9" ht="15.75" x14ac:dyDescent="0.25">
      <c r="B18" s="66" t="s">
        <v>290</v>
      </c>
      <c r="C18" s="66"/>
      <c r="D18" s="66"/>
      <c r="E18" s="66"/>
      <c r="F18" s="66"/>
      <c r="G18" s="67" t="s">
        <v>8</v>
      </c>
      <c r="H18" s="66">
        <v>0.15</v>
      </c>
      <c r="I18" s="66" t="s">
        <v>13</v>
      </c>
    </row>
    <row r="19" spans="1:9" ht="15.75" x14ac:dyDescent="0.25">
      <c r="B19" s="66" t="s">
        <v>291</v>
      </c>
      <c r="C19" s="66"/>
      <c r="D19" s="66"/>
      <c r="E19" s="66"/>
      <c r="F19" s="66"/>
      <c r="G19" s="67" t="s">
        <v>8</v>
      </c>
      <c r="H19" s="70">
        <v>4.3</v>
      </c>
      <c r="I19" s="66" t="s">
        <v>13</v>
      </c>
    </row>
    <row r="20" spans="1:9" ht="15.75" x14ac:dyDescent="0.25">
      <c r="B20" s="66" t="s">
        <v>292</v>
      </c>
      <c r="C20" s="66"/>
      <c r="D20" s="66"/>
      <c r="E20" s="66"/>
      <c r="F20" s="67">
        <v>3</v>
      </c>
      <c r="G20" s="67" t="s">
        <v>44</v>
      </c>
      <c r="H20" s="69">
        <v>2</v>
      </c>
      <c r="I20" s="66" t="s">
        <v>13</v>
      </c>
    </row>
    <row r="21" spans="1:9" ht="15.75" x14ac:dyDescent="0.25">
      <c r="B21" s="66"/>
      <c r="C21" s="66"/>
      <c r="D21" s="66"/>
      <c r="E21" s="66"/>
      <c r="F21" s="66"/>
      <c r="G21" s="67"/>
      <c r="H21" s="70"/>
      <c r="I21" s="66"/>
    </row>
    <row r="22" spans="1:9" ht="18.75" x14ac:dyDescent="0.25">
      <c r="A22" s="5">
        <v>3</v>
      </c>
      <c r="B22" s="16" t="s">
        <v>307</v>
      </c>
      <c r="C22" s="1"/>
      <c r="D22" s="66"/>
      <c r="E22" s="66"/>
      <c r="F22" s="66"/>
      <c r="G22" s="67"/>
      <c r="H22" s="70"/>
      <c r="I22" s="66"/>
    </row>
    <row r="23" spans="1:9" ht="15.75" x14ac:dyDescent="0.25">
      <c r="B23" s="66"/>
      <c r="C23" s="66"/>
      <c r="D23" s="66"/>
      <c r="E23" s="66"/>
      <c r="F23" s="66"/>
      <c r="G23" s="67"/>
      <c r="H23" s="70"/>
      <c r="I23" s="66"/>
    </row>
    <row r="24" spans="1:9" ht="15.75" x14ac:dyDescent="0.25">
      <c r="B24" s="66" t="s">
        <v>285</v>
      </c>
      <c r="C24" s="66"/>
      <c r="D24" s="67">
        <v>0.45</v>
      </c>
      <c r="E24" s="67" t="s">
        <v>44</v>
      </c>
      <c r="F24" s="67">
        <v>0.45</v>
      </c>
      <c r="G24" s="67" t="s">
        <v>44</v>
      </c>
      <c r="H24" s="69">
        <v>1</v>
      </c>
      <c r="I24" s="66" t="s">
        <v>13</v>
      </c>
    </row>
    <row r="25" spans="1:9" ht="15.75" x14ac:dyDescent="0.25">
      <c r="B25" s="66" t="s">
        <v>303</v>
      </c>
      <c r="C25" s="66"/>
      <c r="D25" s="67">
        <v>0.75</v>
      </c>
      <c r="E25" s="67" t="s">
        <v>44</v>
      </c>
      <c r="F25" s="67">
        <v>0.75</v>
      </c>
      <c r="G25" s="67" t="s">
        <v>44</v>
      </c>
      <c r="H25" s="67">
        <v>1.5</v>
      </c>
      <c r="I25" s="66" t="s">
        <v>13</v>
      </c>
    </row>
    <row r="26" spans="1:9" ht="15.75" x14ac:dyDescent="0.25">
      <c r="B26" s="66" t="s">
        <v>304</v>
      </c>
      <c r="C26" s="66"/>
      <c r="D26" s="66"/>
      <c r="E26" s="66"/>
      <c r="F26" s="66"/>
      <c r="G26" s="67" t="s">
        <v>8</v>
      </c>
      <c r="H26" s="70">
        <v>2.5</v>
      </c>
      <c r="I26" s="66" t="s">
        <v>13</v>
      </c>
    </row>
    <row r="27" spans="1:9" ht="15.75" x14ac:dyDescent="0.25">
      <c r="B27" s="66" t="s">
        <v>289</v>
      </c>
      <c r="C27" s="66"/>
      <c r="D27" s="66"/>
      <c r="E27" s="66"/>
      <c r="F27" s="66"/>
      <c r="G27" s="67" t="s">
        <v>8</v>
      </c>
      <c r="H27" s="66">
        <v>0.15</v>
      </c>
      <c r="I27" s="66" t="s">
        <v>13</v>
      </c>
    </row>
    <row r="28" spans="1:9" ht="15.75" x14ac:dyDescent="0.25">
      <c r="B28" s="66" t="s">
        <v>290</v>
      </c>
      <c r="C28" s="66"/>
      <c r="D28" s="66"/>
      <c r="E28" s="66"/>
      <c r="F28" s="66"/>
      <c r="G28" s="67" t="s">
        <v>8</v>
      </c>
      <c r="H28" s="66">
        <v>0.15</v>
      </c>
      <c r="I28" s="66" t="s">
        <v>13</v>
      </c>
    </row>
    <row r="29" spans="1:9" ht="15.75" x14ac:dyDescent="0.25">
      <c r="B29" s="66" t="s">
        <v>291</v>
      </c>
      <c r="C29" s="66"/>
      <c r="D29" s="66"/>
      <c r="E29" s="66"/>
      <c r="F29" s="66"/>
      <c r="G29" s="67" t="s">
        <v>8</v>
      </c>
      <c r="H29" s="70">
        <v>2.8</v>
      </c>
      <c r="I29" s="66" t="s">
        <v>13</v>
      </c>
    </row>
    <row r="30" spans="1:9" ht="15.75" x14ac:dyDescent="0.25">
      <c r="B30" s="66" t="s">
        <v>292</v>
      </c>
      <c r="C30" s="66"/>
      <c r="D30" s="66"/>
      <c r="E30" s="66"/>
      <c r="F30" s="67"/>
      <c r="G30" s="67" t="s">
        <v>8</v>
      </c>
      <c r="H30" s="72">
        <v>3</v>
      </c>
      <c r="I30" s="66" t="s">
        <v>13</v>
      </c>
    </row>
    <row r="31" spans="1:9" ht="15.75" x14ac:dyDescent="0.25">
      <c r="B31" s="66"/>
      <c r="C31" s="66"/>
      <c r="D31" s="66"/>
      <c r="E31" s="66"/>
      <c r="F31" s="66"/>
      <c r="G31" s="67"/>
      <c r="H31" s="70"/>
      <c r="I31" s="66"/>
    </row>
    <row r="32" spans="1:9" ht="15.75" x14ac:dyDescent="0.25">
      <c r="A32" s="11" t="s">
        <v>23</v>
      </c>
    </row>
    <row r="34" spans="1:16" ht="15.75" x14ac:dyDescent="0.25">
      <c r="A34" s="3" t="s">
        <v>2</v>
      </c>
      <c r="B34" s="3" t="s">
        <v>0</v>
      </c>
      <c r="C34" s="3" t="s">
        <v>1</v>
      </c>
      <c r="D34" s="3" t="s">
        <v>21</v>
      </c>
      <c r="E34" s="3" t="s">
        <v>15</v>
      </c>
      <c r="F34" s="3" t="s">
        <v>16</v>
      </c>
      <c r="G34" s="3" t="s">
        <v>18</v>
      </c>
      <c r="H34" s="3" t="s">
        <v>17</v>
      </c>
      <c r="I34" s="3" t="s">
        <v>6</v>
      </c>
    </row>
    <row r="35" spans="1:16" ht="15.75" x14ac:dyDescent="0.25">
      <c r="A35" s="4">
        <v>1</v>
      </c>
      <c r="B35" s="12" t="s">
        <v>310</v>
      </c>
      <c r="C35" s="3"/>
      <c r="D35" s="3"/>
      <c r="E35" s="3"/>
      <c r="F35" s="3"/>
      <c r="G35" s="3"/>
      <c r="H35" s="3"/>
      <c r="I35" s="3"/>
    </row>
    <row r="36" spans="1:16" x14ac:dyDescent="0.25">
      <c r="A36" s="6"/>
      <c r="B36" s="2" t="s">
        <v>311</v>
      </c>
      <c r="C36" s="7" t="s">
        <v>295</v>
      </c>
      <c r="D36" s="7">
        <v>2</v>
      </c>
      <c r="E36" s="8">
        <v>6</v>
      </c>
      <c r="F36" s="7">
        <v>6</v>
      </c>
      <c r="G36" s="7">
        <v>4.3</v>
      </c>
      <c r="H36" s="7" t="s">
        <v>22</v>
      </c>
      <c r="I36" s="80">
        <f>(D36*E36*F36*G36)</f>
        <v>309.59999999999997</v>
      </c>
    </row>
    <row r="37" spans="1:16" x14ac:dyDescent="0.25">
      <c r="A37" s="6"/>
      <c r="B37" s="2" t="s">
        <v>312</v>
      </c>
      <c r="C37" s="7" t="s">
        <v>295</v>
      </c>
      <c r="D37" s="7">
        <v>4</v>
      </c>
      <c r="E37" s="8">
        <v>5.5</v>
      </c>
      <c r="F37" s="7">
        <v>4.5</v>
      </c>
      <c r="G37" s="7">
        <v>4.3</v>
      </c>
      <c r="H37" s="7" t="s">
        <v>22</v>
      </c>
      <c r="I37" s="80">
        <f>(D37*E37*F37*G37)</f>
        <v>425.7</v>
      </c>
    </row>
    <row r="38" spans="1:16" x14ac:dyDescent="0.25">
      <c r="A38" s="6"/>
      <c r="B38" s="2" t="s">
        <v>313</v>
      </c>
      <c r="C38" s="7" t="s">
        <v>295</v>
      </c>
      <c r="D38" s="7">
        <v>2</v>
      </c>
      <c r="E38" s="8">
        <v>4.5</v>
      </c>
      <c r="F38" s="7">
        <v>1.05</v>
      </c>
      <c r="G38" s="7">
        <v>2.8</v>
      </c>
      <c r="H38" s="7" t="s">
        <v>22</v>
      </c>
      <c r="I38" s="80">
        <f>(D38*E38*F38*G38)</f>
        <v>26.46</v>
      </c>
    </row>
    <row r="39" spans="1:16" x14ac:dyDescent="0.25">
      <c r="A39" s="7"/>
      <c r="B39" s="7"/>
      <c r="C39" s="7"/>
      <c r="D39" s="7"/>
      <c r="E39" s="8"/>
      <c r="F39" s="7"/>
      <c r="G39" s="7"/>
      <c r="H39" s="7"/>
      <c r="I39" s="80">
        <f>SUM(I36:I38)</f>
        <v>761.76</v>
      </c>
    </row>
    <row r="41" spans="1:16" ht="15.75" x14ac:dyDescent="0.25">
      <c r="B41" s="81" t="s">
        <v>331</v>
      </c>
      <c r="C41" s="82"/>
      <c r="D41" s="82"/>
      <c r="F41" s="83" t="s">
        <v>8</v>
      </c>
      <c r="G41" s="84">
        <f>I39</f>
        <v>761.76</v>
      </c>
      <c r="H41" s="83" t="s">
        <v>295</v>
      </c>
      <c r="P41" s="85"/>
    </row>
    <row r="44" spans="1:16" ht="18.75" x14ac:dyDescent="0.25">
      <c r="A44" s="190" t="s">
        <v>315</v>
      </c>
      <c r="B44" s="190"/>
      <c r="C44" s="190"/>
      <c r="D44" s="190"/>
      <c r="E44" s="190"/>
      <c r="F44" s="190"/>
      <c r="G44" s="190"/>
      <c r="H44" s="190"/>
      <c r="I44" s="190"/>
    </row>
    <row r="45" spans="1:16" ht="18.75" x14ac:dyDescent="0.25">
      <c r="A45" s="20"/>
      <c r="B45" s="20"/>
      <c r="C45" s="20"/>
      <c r="D45" s="20"/>
      <c r="E45" s="20"/>
      <c r="F45" s="20"/>
      <c r="G45" s="20"/>
      <c r="H45" s="20"/>
      <c r="I45" s="20"/>
    </row>
    <row r="46" spans="1:16" ht="18.75" x14ac:dyDescent="0.25">
      <c r="A46" s="5">
        <v>1</v>
      </c>
      <c r="B46" s="16" t="s">
        <v>306</v>
      </c>
      <c r="C46" s="20"/>
      <c r="D46" s="20"/>
      <c r="E46" s="20"/>
      <c r="F46" s="20"/>
      <c r="G46" s="20"/>
      <c r="H46" s="20"/>
      <c r="I46" s="20"/>
    </row>
    <row r="47" spans="1:16" ht="15.75" x14ac:dyDescent="0.25">
      <c r="B47" s="66"/>
      <c r="C47" s="66"/>
      <c r="D47" s="66"/>
      <c r="E47" s="67"/>
      <c r="F47" s="67"/>
      <c r="G47" s="67"/>
      <c r="H47" s="66"/>
      <c r="I47" s="66"/>
    </row>
    <row r="48" spans="1:16" ht="15.75" x14ac:dyDescent="0.25">
      <c r="B48" s="66" t="s">
        <v>285</v>
      </c>
      <c r="C48" s="66"/>
      <c r="D48" s="67">
        <v>1.25</v>
      </c>
      <c r="E48" s="67" t="s">
        <v>44</v>
      </c>
      <c r="F48" s="67">
        <v>1.25</v>
      </c>
      <c r="G48" s="67" t="s">
        <v>44</v>
      </c>
      <c r="H48" s="69">
        <v>3.1</v>
      </c>
      <c r="I48" s="66" t="s">
        <v>13</v>
      </c>
    </row>
    <row r="49" spans="1:9" ht="15.75" x14ac:dyDescent="0.25">
      <c r="B49" s="66" t="s">
        <v>286</v>
      </c>
      <c r="C49" s="66"/>
      <c r="D49" s="67">
        <v>6</v>
      </c>
      <c r="E49" s="67" t="s">
        <v>44</v>
      </c>
      <c r="F49" s="67">
        <v>6</v>
      </c>
      <c r="G49" s="67" t="s">
        <v>44</v>
      </c>
      <c r="H49" s="67">
        <v>0.9</v>
      </c>
      <c r="I49" s="66" t="s">
        <v>13</v>
      </c>
    </row>
    <row r="50" spans="1:9" ht="15.75" x14ac:dyDescent="0.25">
      <c r="B50" s="66" t="s">
        <v>289</v>
      </c>
      <c r="C50" s="66"/>
      <c r="D50" s="66"/>
      <c r="E50" s="66"/>
      <c r="F50" s="66"/>
      <c r="G50" s="67" t="s">
        <v>8</v>
      </c>
      <c r="H50" s="66">
        <v>0.15</v>
      </c>
      <c r="I50" s="66" t="s">
        <v>13</v>
      </c>
    </row>
    <row r="51" spans="1:9" ht="15.75" x14ac:dyDescent="0.25">
      <c r="B51" s="66" t="s">
        <v>290</v>
      </c>
      <c r="C51" s="66"/>
      <c r="D51" s="66"/>
      <c r="E51" s="66"/>
      <c r="F51" s="66"/>
      <c r="G51" s="67" t="s">
        <v>8</v>
      </c>
      <c r="H51" s="70">
        <v>0.15</v>
      </c>
      <c r="I51" s="66" t="s">
        <v>13</v>
      </c>
    </row>
    <row r="52" spans="1:9" ht="15.75" x14ac:dyDescent="0.25">
      <c r="B52" s="66" t="s">
        <v>291</v>
      </c>
      <c r="C52" s="66"/>
      <c r="D52" s="66"/>
      <c r="E52" s="66"/>
      <c r="F52" s="66"/>
      <c r="G52" s="67" t="s">
        <v>8</v>
      </c>
      <c r="H52" s="70">
        <v>4</v>
      </c>
      <c r="I52" s="66" t="s">
        <v>13</v>
      </c>
    </row>
    <row r="53" spans="1:9" ht="15.75" x14ac:dyDescent="0.25">
      <c r="B53" s="66" t="s">
        <v>292</v>
      </c>
      <c r="C53" s="66"/>
      <c r="D53" s="66"/>
      <c r="E53" s="66"/>
      <c r="F53" s="66"/>
      <c r="G53" s="67" t="s">
        <v>8</v>
      </c>
      <c r="H53" s="70">
        <v>3</v>
      </c>
      <c r="I53" s="66" t="s">
        <v>13</v>
      </c>
    </row>
    <row r="54" spans="1:9" ht="15.75" x14ac:dyDescent="0.25">
      <c r="B54" s="66"/>
      <c r="C54" s="66"/>
      <c r="D54" s="66"/>
      <c r="E54" s="66"/>
      <c r="F54" s="66"/>
      <c r="G54" s="67"/>
      <c r="H54" s="70"/>
      <c r="I54" s="66"/>
    </row>
    <row r="55" spans="1:9" ht="18.75" x14ac:dyDescent="0.25">
      <c r="A55" s="5">
        <v>2</v>
      </c>
      <c r="B55" s="16" t="s">
        <v>305</v>
      </c>
      <c r="C55" s="1"/>
      <c r="D55" s="1"/>
      <c r="E55" s="66"/>
      <c r="F55" s="66"/>
      <c r="G55" s="67"/>
      <c r="H55" s="70"/>
      <c r="I55" s="66"/>
    </row>
    <row r="56" spans="1:9" ht="15.75" x14ac:dyDescent="0.25">
      <c r="B56" s="66"/>
      <c r="C56" s="66"/>
      <c r="D56" s="66"/>
      <c r="E56" s="66"/>
      <c r="F56" s="66"/>
      <c r="G56" s="67"/>
      <c r="H56" s="70"/>
      <c r="I56" s="66"/>
    </row>
    <row r="57" spans="1:9" ht="15.75" x14ac:dyDescent="0.25">
      <c r="B57" s="66" t="s">
        <v>285</v>
      </c>
      <c r="C57" s="66"/>
      <c r="D57" s="67">
        <v>0.75</v>
      </c>
      <c r="E57" s="67" t="s">
        <v>44</v>
      </c>
      <c r="F57" s="67">
        <v>0.75</v>
      </c>
      <c r="G57" s="67" t="s">
        <v>44</v>
      </c>
      <c r="H57" s="69">
        <v>3.25</v>
      </c>
      <c r="I57" s="66" t="s">
        <v>13</v>
      </c>
    </row>
    <row r="58" spans="1:9" ht="15.75" x14ac:dyDescent="0.25">
      <c r="B58" s="66" t="s">
        <v>303</v>
      </c>
      <c r="C58" s="66"/>
      <c r="D58" s="67">
        <v>5.5</v>
      </c>
      <c r="E58" s="67" t="s">
        <v>44</v>
      </c>
      <c r="F58" s="67">
        <v>4.5</v>
      </c>
      <c r="G58" s="67" t="s">
        <v>44</v>
      </c>
      <c r="H58" s="67">
        <v>0.75</v>
      </c>
      <c r="I58" s="66" t="s">
        <v>13</v>
      </c>
    </row>
    <row r="59" spans="1:9" ht="15.75" x14ac:dyDescent="0.25">
      <c r="B59" s="66" t="s">
        <v>304</v>
      </c>
      <c r="C59" s="66"/>
      <c r="D59" s="66"/>
      <c r="E59" s="66"/>
      <c r="F59" s="66"/>
      <c r="G59" s="67" t="s">
        <v>8</v>
      </c>
      <c r="H59" s="70">
        <v>4</v>
      </c>
      <c r="I59" s="66" t="s">
        <v>13</v>
      </c>
    </row>
    <row r="60" spans="1:9" ht="15.75" x14ac:dyDescent="0.25">
      <c r="B60" s="66" t="s">
        <v>289</v>
      </c>
      <c r="C60" s="66"/>
      <c r="D60" s="66"/>
      <c r="E60" s="66"/>
      <c r="F60" s="66"/>
      <c r="G60" s="67" t="s">
        <v>8</v>
      </c>
      <c r="H60" s="66">
        <v>0.15</v>
      </c>
      <c r="I60" s="66" t="s">
        <v>13</v>
      </c>
    </row>
    <row r="61" spans="1:9" ht="15.75" x14ac:dyDescent="0.25">
      <c r="B61" s="66" t="s">
        <v>290</v>
      </c>
      <c r="C61" s="66"/>
      <c r="D61" s="66"/>
      <c r="E61" s="66"/>
      <c r="F61" s="66"/>
      <c r="G61" s="67" t="s">
        <v>8</v>
      </c>
      <c r="H61" s="66">
        <v>0.15</v>
      </c>
      <c r="I61" s="66" t="s">
        <v>13</v>
      </c>
    </row>
    <row r="62" spans="1:9" ht="15.75" x14ac:dyDescent="0.25">
      <c r="B62" s="66" t="s">
        <v>291</v>
      </c>
      <c r="C62" s="66"/>
      <c r="D62" s="66"/>
      <c r="E62" s="66"/>
      <c r="F62" s="66"/>
      <c r="G62" s="67" t="s">
        <v>8</v>
      </c>
      <c r="H62" s="70">
        <v>4.3</v>
      </c>
      <c r="I62" s="66" t="s">
        <v>13</v>
      </c>
    </row>
    <row r="63" spans="1:9" ht="15.75" x14ac:dyDescent="0.25">
      <c r="B63" s="66" t="s">
        <v>292</v>
      </c>
      <c r="C63" s="66"/>
      <c r="D63" s="66"/>
      <c r="E63" s="66"/>
      <c r="F63" s="67">
        <v>3</v>
      </c>
      <c r="G63" s="67" t="s">
        <v>44</v>
      </c>
      <c r="H63" s="69">
        <v>2</v>
      </c>
      <c r="I63" s="66" t="s">
        <v>13</v>
      </c>
    </row>
    <row r="64" spans="1:9" ht="15.75" x14ac:dyDescent="0.25">
      <c r="B64" s="66"/>
      <c r="C64" s="66"/>
      <c r="D64" s="66"/>
      <c r="E64" s="66"/>
      <c r="F64" s="66"/>
      <c r="G64" s="67"/>
      <c r="H64" s="70"/>
      <c r="I64" s="66"/>
    </row>
    <row r="65" spans="1:9" ht="18.75" x14ac:dyDescent="0.25">
      <c r="A65" s="5">
        <v>3</v>
      </c>
      <c r="B65" s="16" t="s">
        <v>307</v>
      </c>
      <c r="C65" s="1"/>
      <c r="D65" s="66"/>
      <c r="E65" s="66"/>
      <c r="F65" s="66"/>
      <c r="G65" s="67"/>
      <c r="H65" s="70"/>
      <c r="I65" s="66"/>
    </row>
    <row r="66" spans="1:9" ht="15.75" x14ac:dyDescent="0.25">
      <c r="B66" s="66"/>
      <c r="C66" s="66"/>
      <c r="D66" s="66"/>
      <c r="E66" s="66"/>
      <c r="F66" s="66"/>
      <c r="G66" s="67"/>
      <c r="H66" s="70"/>
      <c r="I66" s="66"/>
    </row>
    <row r="67" spans="1:9" ht="15.75" x14ac:dyDescent="0.25">
      <c r="B67" s="66" t="s">
        <v>285</v>
      </c>
      <c r="C67" s="66"/>
      <c r="D67" s="67">
        <v>0.45</v>
      </c>
      <c r="E67" s="67" t="s">
        <v>44</v>
      </c>
      <c r="F67" s="67">
        <v>0.45</v>
      </c>
      <c r="G67" s="67" t="s">
        <v>44</v>
      </c>
      <c r="H67" s="69">
        <v>1</v>
      </c>
      <c r="I67" s="66" t="s">
        <v>13</v>
      </c>
    </row>
    <row r="68" spans="1:9" ht="15.75" x14ac:dyDescent="0.25">
      <c r="B68" s="66" t="s">
        <v>303</v>
      </c>
      <c r="C68" s="66"/>
      <c r="D68" s="67">
        <v>0.75</v>
      </c>
      <c r="E68" s="67" t="s">
        <v>44</v>
      </c>
      <c r="F68" s="67">
        <v>0.75</v>
      </c>
      <c r="G68" s="67" t="s">
        <v>44</v>
      </c>
      <c r="H68" s="67">
        <v>1.5</v>
      </c>
      <c r="I68" s="66" t="s">
        <v>13</v>
      </c>
    </row>
    <row r="69" spans="1:9" ht="15.75" x14ac:dyDescent="0.25">
      <c r="B69" s="66" t="s">
        <v>304</v>
      </c>
      <c r="C69" s="66"/>
      <c r="D69" s="66"/>
      <c r="E69" s="66"/>
      <c r="F69" s="66"/>
      <c r="G69" s="67" t="s">
        <v>8</v>
      </c>
      <c r="H69" s="70">
        <v>2.5</v>
      </c>
      <c r="I69" s="66" t="s">
        <v>13</v>
      </c>
    </row>
    <row r="70" spans="1:9" ht="15.75" x14ac:dyDescent="0.25">
      <c r="B70" s="66" t="s">
        <v>289</v>
      </c>
      <c r="C70" s="66"/>
      <c r="D70" s="66"/>
      <c r="E70" s="66"/>
      <c r="F70" s="66"/>
      <c r="G70" s="67" t="s">
        <v>8</v>
      </c>
      <c r="H70" s="66">
        <v>0.15</v>
      </c>
      <c r="I70" s="66" t="s">
        <v>13</v>
      </c>
    </row>
    <row r="71" spans="1:9" ht="15.75" x14ac:dyDescent="0.25">
      <c r="B71" s="66" t="s">
        <v>290</v>
      </c>
      <c r="C71" s="66"/>
      <c r="D71" s="66"/>
      <c r="E71" s="66"/>
      <c r="F71" s="66"/>
      <c r="G71" s="67" t="s">
        <v>8</v>
      </c>
      <c r="H71" s="66">
        <v>0.15</v>
      </c>
      <c r="I71" s="66" t="s">
        <v>13</v>
      </c>
    </row>
    <row r="72" spans="1:9" ht="15.75" x14ac:dyDescent="0.25">
      <c r="B72" s="66" t="s">
        <v>291</v>
      </c>
      <c r="C72" s="66"/>
      <c r="D72" s="66"/>
      <c r="E72" s="66"/>
      <c r="F72" s="66"/>
      <c r="G72" s="67" t="s">
        <v>8</v>
      </c>
      <c r="H72" s="70">
        <v>2.8</v>
      </c>
      <c r="I72" s="66" t="s">
        <v>13</v>
      </c>
    </row>
    <row r="73" spans="1:9" ht="15.75" x14ac:dyDescent="0.25">
      <c r="B73" s="66" t="s">
        <v>292</v>
      </c>
      <c r="C73" s="66"/>
      <c r="D73" s="66"/>
      <c r="E73" s="66"/>
      <c r="F73" s="67"/>
      <c r="G73" s="67" t="s">
        <v>8</v>
      </c>
      <c r="H73" s="72">
        <v>3</v>
      </c>
      <c r="I73" s="66" t="s">
        <v>13</v>
      </c>
    </row>
    <row r="74" spans="1:9" ht="15.75" x14ac:dyDescent="0.25">
      <c r="B74" s="66"/>
      <c r="C74" s="66"/>
      <c r="D74" s="66"/>
      <c r="E74" s="66"/>
      <c r="F74" s="66"/>
      <c r="G74" s="67"/>
      <c r="H74" s="70"/>
      <c r="I74" s="66"/>
    </row>
    <row r="75" spans="1:9" ht="15.75" x14ac:dyDescent="0.25">
      <c r="A75" s="11" t="s">
        <v>23</v>
      </c>
    </row>
    <row r="77" spans="1:9" ht="15.75" x14ac:dyDescent="0.25">
      <c r="A77" s="3" t="s">
        <v>2</v>
      </c>
      <c r="B77" s="3" t="s">
        <v>0</v>
      </c>
      <c r="C77" s="3" t="s">
        <v>1</v>
      </c>
      <c r="D77" s="3" t="s">
        <v>21</v>
      </c>
      <c r="E77" s="3" t="s">
        <v>15</v>
      </c>
      <c r="F77" s="3" t="s">
        <v>16</v>
      </c>
      <c r="G77" s="3" t="s">
        <v>18</v>
      </c>
      <c r="H77" s="3" t="s">
        <v>17</v>
      </c>
      <c r="I77" s="3" t="s">
        <v>6</v>
      </c>
    </row>
    <row r="78" spans="1:9" ht="15.75" x14ac:dyDescent="0.25">
      <c r="A78" s="4">
        <v>1</v>
      </c>
      <c r="B78" s="12" t="s">
        <v>316</v>
      </c>
      <c r="C78" s="3"/>
      <c r="D78" s="3"/>
      <c r="E78" s="3"/>
      <c r="F78" s="3"/>
      <c r="G78" s="3"/>
      <c r="H78" s="3"/>
      <c r="I78" s="3"/>
    </row>
    <row r="79" spans="1:9" x14ac:dyDescent="0.25">
      <c r="A79" s="6"/>
      <c r="B79" s="2" t="s">
        <v>296</v>
      </c>
      <c r="C79" s="7" t="s">
        <v>317</v>
      </c>
      <c r="D79" s="7">
        <f>2*4</f>
        <v>8</v>
      </c>
      <c r="E79" s="8">
        <v>6</v>
      </c>
      <c r="F79" s="7" t="s">
        <v>22</v>
      </c>
      <c r="G79" s="7">
        <v>0.9</v>
      </c>
      <c r="H79" s="7" t="s">
        <v>22</v>
      </c>
      <c r="I79" s="22">
        <f>(D79*E79*G79)</f>
        <v>43.2</v>
      </c>
    </row>
    <row r="80" spans="1:9" x14ac:dyDescent="0.25">
      <c r="A80" s="6"/>
      <c r="B80" s="2" t="s">
        <v>298</v>
      </c>
      <c r="C80" s="7" t="s">
        <v>317</v>
      </c>
      <c r="D80" s="7">
        <f>2*4*4</f>
        <v>32</v>
      </c>
      <c r="E80" s="8">
        <v>1.25</v>
      </c>
      <c r="F80" s="7" t="s">
        <v>22</v>
      </c>
      <c r="G80" s="7">
        <v>3.4</v>
      </c>
      <c r="H80" s="7" t="s">
        <v>22</v>
      </c>
      <c r="I80" s="22">
        <f>(D80*E80*G80)</f>
        <v>136</v>
      </c>
    </row>
    <row r="81" spans="1:16" x14ac:dyDescent="0.25">
      <c r="A81" s="6"/>
      <c r="B81" s="2"/>
      <c r="C81" s="7"/>
      <c r="D81" s="7"/>
      <c r="E81" s="8"/>
      <c r="F81" s="7"/>
      <c r="G81" s="7"/>
      <c r="H81" s="7"/>
      <c r="I81" s="22"/>
    </row>
    <row r="82" spans="1:16" ht="15.75" x14ac:dyDescent="0.25">
      <c r="A82" s="4">
        <v>2</v>
      </c>
      <c r="B82" s="12" t="s">
        <v>318</v>
      </c>
      <c r="C82" s="3"/>
      <c r="D82" s="3"/>
      <c r="E82" s="3"/>
      <c r="F82" s="3"/>
      <c r="G82" s="3"/>
      <c r="H82" s="3"/>
      <c r="I82" s="3"/>
    </row>
    <row r="83" spans="1:16" x14ac:dyDescent="0.25">
      <c r="A83" s="6"/>
      <c r="B83" s="2" t="s">
        <v>320</v>
      </c>
      <c r="C83" s="7" t="s">
        <v>317</v>
      </c>
      <c r="D83" s="7">
        <f>2*4</f>
        <v>8</v>
      </c>
      <c r="E83" s="8">
        <v>5.5</v>
      </c>
      <c r="F83" s="7" t="s">
        <v>22</v>
      </c>
      <c r="G83" s="7">
        <v>0.75</v>
      </c>
      <c r="H83" s="7" t="s">
        <v>22</v>
      </c>
      <c r="I83" s="22">
        <f>(D83*E83*G83)</f>
        <v>33</v>
      </c>
    </row>
    <row r="84" spans="1:16" x14ac:dyDescent="0.25">
      <c r="A84" s="6"/>
      <c r="B84" s="2" t="s">
        <v>319</v>
      </c>
      <c r="C84" s="7" t="s">
        <v>317</v>
      </c>
      <c r="D84" s="7">
        <f>2*4</f>
        <v>8</v>
      </c>
      <c r="E84" s="8">
        <v>4.5</v>
      </c>
      <c r="F84" s="7" t="s">
        <v>22</v>
      </c>
      <c r="G84" s="7">
        <v>0.75</v>
      </c>
      <c r="H84" s="7" t="s">
        <v>22</v>
      </c>
      <c r="I84" s="22">
        <f>(D84*E84*G84)</f>
        <v>27</v>
      </c>
    </row>
    <row r="85" spans="1:16" x14ac:dyDescent="0.25">
      <c r="A85" s="6"/>
      <c r="B85" s="2" t="s">
        <v>321</v>
      </c>
      <c r="C85" s="7" t="s">
        <v>317</v>
      </c>
      <c r="D85" s="7">
        <f>2*4*4*2</f>
        <v>64</v>
      </c>
      <c r="E85" s="8">
        <v>0.75</v>
      </c>
      <c r="F85" s="7" t="s">
        <v>22</v>
      </c>
      <c r="G85" s="7">
        <v>3.55</v>
      </c>
      <c r="H85" s="7" t="s">
        <v>22</v>
      </c>
      <c r="I85" s="22">
        <f>(D85*E85*G85)</f>
        <v>170.39999999999998</v>
      </c>
    </row>
    <row r="86" spans="1:16" x14ac:dyDescent="0.25">
      <c r="A86" s="6"/>
      <c r="B86" s="2"/>
      <c r="C86" s="7"/>
      <c r="D86" s="7"/>
      <c r="E86" s="8"/>
      <c r="F86" s="7"/>
      <c r="G86" s="7"/>
      <c r="H86" s="7"/>
      <c r="I86" s="22"/>
    </row>
    <row r="87" spans="1:16" ht="15.75" x14ac:dyDescent="0.25">
      <c r="A87" s="6">
        <v>3</v>
      </c>
      <c r="B87" s="14" t="s">
        <v>322</v>
      </c>
      <c r="C87" s="7"/>
      <c r="D87" s="7"/>
      <c r="E87" s="8"/>
      <c r="F87" s="7"/>
      <c r="G87" s="7"/>
      <c r="H87" s="7"/>
      <c r="I87" s="22"/>
    </row>
    <row r="88" spans="1:16" x14ac:dyDescent="0.25">
      <c r="A88" s="6"/>
      <c r="B88" s="2" t="s">
        <v>320</v>
      </c>
      <c r="C88" s="7" t="s">
        <v>317</v>
      </c>
      <c r="D88" s="7">
        <f>2*2</f>
        <v>4</v>
      </c>
      <c r="E88" s="8">
        <v>4.5</v>
      </c>
      <c r="F88" s="7" t="s">
        <v>22</v>
      </c>
      <c r="G88" s="7">
        <v>1.5</v>
      </c>
      <c r="H88" s="7" t="s">
        <v>22</v>
      </c>
      <c r="I88" s="22">
        <f>(D88*E88*G88)</f>
        <v>27</v>
      </c>
    </row>
    <row r="89" spans="1:16" x14ac:dyDescent="0.25">
      <c r="A89" s="7"/>
      <c r="B89" s="2" t="s">
        <v>319</v>
      </c>
      <c r="C89" s="7" t="s">
        <v>317</v>
      </c>
      <c r="D89" s="7">
        <f>2*2</f>
        <v>4</v>
      </c>
      <c r="E89" s="8">
        <v>0.75</v>
      </c>
      <c r="F89" s="7" t="s">
        <v>22</v>
      </c>
      <c r="G89" s="7">
        <v>1.5</v>
      </c>
      <c r="H89" s="7" t="s">
        <v>22</v>
      </c>
      <c r="I89" s="22">
        <f>(D89*E89*G89)</f>
        <v>4.5</v>
      </c>
    </row>
    <row r="90" spans="1:16" x14ac:dyDescent="0.25">
      <c r="A90" s="75"/>
      <c r="B90" s="2" t="s">
        <v>321</v>
      </c>
      <c r="C90" s="7" t="s">
        <v>317</v>
      </c>
      <c r="D90" s="7">
        <f>4*4</f>
        <v>16</v>
      </c>
      <c r="E90" s="8">
        <v>0.45</v>
      </c>
      <c r="F90" s="7" t="s">
        <v>22</v>
      </c>
      <c r="G90" s="7">
        <v>1</v>
      </c>
      <c r="H90" s="7" t="s">
        <v>22</v>
      </c>
      <c r="I90" s="22">
        <f>(D90*E90*G90)</f>
        <v>7.2</v>
      </c>
    </row>
    <row r="91" spans="1:16" x14ac:dyDescent="0.25">
      <c r="A91" s="10"/>
      <c r="B91" s="10"/>
      <c r="C91" s="10"/>
      <c r="D91" s="10"/>
      <c r="E91" s="10"/>
      <c r="F91" s="10"/>
      <c r="G91" s="10"/>
      <c r="H91" s="10"/>
      <c r="I91" s="9">
        <f>SUM(I79:I90)</f>
        <v>448.29999999999995</v>
      </c>
    </row>
    <row r="93" spans="1:16" ht="15.75" x14ac:dyDescent="0.25">
      <c r="B93" s="81" t="s">
        <v>332</v>
      </c>
      <c r="C93" s="82"/>
      <c r="D93" s="82"/>
      <c r="F93" s="83" t="s">
        <v>8</v>
      </c>
      <c r="G93" s="84">
        <f>I91</f>
        <v>448.29999999999995</v>
      </c>
      <c r="H93" s="19" t="str">
        <f>C90</f>
        <v>Sq.M</v>
      </c>
      <c r="L93">
        <f>G93*150</f>
        <v>67245</v>
      </c>
      <c r="P93" s="85"/>
    </row>
    <row r="97" spans="16:17" x14ac:dyDescent="0.25">
      <c r="P97" s="85"/>
    </row>
    <row r="98" spans="16:17" x14ac:dyDescent="0.25">
      <c r="P98" s="85"/>
      <c r="Q98" s="85"/>
    </row>
    <row r="99" spans="16:17" x14ac:dyDescent="0.25">
      <c r="P99" s="86"/>
      <c r="Q99" s="85"/>
    </row>
  </sheetData>
  <mergeCells count="2">
    <mergeCell ref="A1:I1"/>
    <mergeCell ref="A44:I4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A1:G45"/>
  <sheetViews>
    <sheetView tabSelected="1" view="pageBreakPreview" topLeftCell="A34" zoomScale="130" zoomScaleNormal="10" zoomScaleSheetLayoutView="130" zoomScalePageLayoutView="25" workbookViewId="0">
      <selection activeCell="A5" sqref="A5:F5"/>
    </sheetView>
  </sheetViews>
  <sheetFormatPr defaultRowHeight="15" x14ac:dyDescent="0.25"/>
  <cols>
    <col min="1" max="1" width="6.28515625" style="90" customWidth="1"/>
    <col min="2" max="2" width="45.140625" style="90" customWidth="1"/>
    <col min="3" max="3" width="8.140625" style="144" customWidth="1"/>
    <col min="4" max="4" width="11.28515625" style="144" bestFit="1" customWidth="1"/>
    <col min="5" max="5" width="11.42578125" style="90" customWidth="1"/>
    <col min="6" max="6" width="10.7109375" style="90" customWidth="1"/>
    <col min="7" max="7" width="12.85546875" style="90" customWidth="1"/>
    <col min="8" max="8" width="10.28515625" style="90" bestFit="1" customWidth="1"/>
    <col min="9" max="16384" width="9.140625" style="90"/>
  </cols>
  <sheetData>
    <row r="1" spans="1:7" ht="21" customHeight="1" x14ac:dyDescent="0.3">
      <c r="A1" s="201" t="s">
        <v>385</v>
      </c>
      <c r="B1" s="202"/>
      <c r="C1" s="202"/>
      <c r="D1" s="202"/>
      <c r="E1" s="202"/>
      <c r="F1" s="202"/>
    </row>
    <row r="2" spans="1:7" ht="21" customHeight="1" x14ac:dyDescent="0.3">
      <c r="A2" s="145"/>
      <c r="B2" s="146"/>
      <c r="C2" s="146"/>
      <c r="D2" s="146"/>
      <c r="E2" s="146"/>
      <c r="F2" s="146"/>
    </row>
    <row r="3" spans="1:7" ht="21" customHeight="1" x14ac:dyDescent="0.3">
      <c r="A3" s="201" t="s">
        <v>369</v>
      </c>
      <c r="B3" s="201"/>
      <c r="C3" s="201"/>
      <c r="D3" s="201"/>
      <c r="E3" s="201"/>
      <c r="F3" s="201"/>
    </row>
    <row r="5" spans="1:7" ht="58.9" customHeight="1" x14ac:dyDescent="0.25">
      <c r="A5" s="203" t="s">
        <v>357</v>
      </c>
      <c r="B5" s="203"/>
      <c r="C5" s="203"/>
      <c r="D5" s="203"/>
      <c r="E5" s="203"/>
      <c r="F5" s="203"/>
      <c r="G5" s="132"/>
    </row>
    <row r="6" spans="1:7" x14ac:dyDescent="0.25">
      <c r="A6" s="133"/>
      <c r="B6" s="133"/>
      <c r="C6" s="133"/>
      <c r="D6" s="133"/>
    </row>
    <row r="7" spans="1:7" ht="21" x14ac:dyDescent="0.35">
      <c r="A7" s="204" t="s">
        <v>353</v>
      </c>
      <c r="B7" s="204"/>
      <c r="C7" s="204"/>
      <c r="D7" s="204"/>
      <c r="E7" s="204"/>
      <c r="F7" s="204"/>
    </row>
    <row r="8" spans="1:7" x14ac:dyDescent="0.25">
      <c r="A8" s="134"/>
      <c r="B8" s="134"/>
      <c r="C8" s="134"/>
      <c r="D8" s="134"/>
    </row>
    <row r="9" spans="1:7" ht="18.75" x14ac:dyDescent="0.3">
      <c r="A9" s="135"/>
      <c r="B9" s="135"/>
      <c r="C9" s="135"/>
      <c r="D9" s="135"/>
    </row>
    <row r="10" spans="1:7" ht="31.5" x14ac:dyDescent="0.25">
      <c r="A10" s="115" t="s">
        <v>337</v>
      </c>
      <c r="B10" s="115" t="s">
        <v>338</v>
      </c>
      <c r="C10" s="115" t="s">
        <v>339</v>
      </c>
      <c r="D10" s="115" t="s">
        <v>6</v>
      </c>
      <c r="E10" s="116" t="s">
        <v>355</v>
      </c>
      <c r="F10" s="137" t="s">
        <v>356</v>
      </c>
    </row>
    <row r="11" spans="1:7" ht="15.6" customHeight="1" x14ac:dyDescent="0.25">
      <c r="A11" s="115">
        <v>1</v>
      </c>
      <c r="B11" s="115">
        <v>2</v>
      </c>
      <c r="C11" s="115">
        <v>3</v>
      </c>
      <c r="D11" s="115">
        <v>4</v>
      </c>
      <c r="E11" s="115">
        <v>5</v>
      </c>
      <c r="F11" s="115">
        <v>6</v>
      </c>
    </row>
    <row r="12" spans="1:7" ht="90" x14ac:dyDescent="0.25">
      <c r="A12" s="102">
        <v>1</v>
      </c>
      <c r="B12" s="136" t="s">
        <v>347</v>
      </c>
      <c r="C12" s="116" t="s">
        <v>340</v>
      </c>
      <c r="D12" s="137">
        <v>150</v>
      </c>
      <c r="E12" s="147">
        <v>0</v>
      </c>
      <c r="F12" s="138">
        <f>E12*D12</f>
        <v>0</v>
      </c>
    </row>
    <row r="13" spans="1:7" ht="45" x14ac:dyDescent="0.25">
      <c r="A13" s="102">
        <v>2</v>
      </c>
      <c r="B13" s="136" t="s">
        <v>352</v>
      </c>
      <c r="C13" s="116" t="s">
        <v>317</v>
      </c>
      <c r="D13" s="137">
        <v>261</v>
      </c>
      <c r="E13" s="147">
        <v>0</v>
      </c>
      <c r="F13" s="138">
        <f t="shared" ref="F13:F33" si="0">E13*D13</f>
        <v>0</v>
      </c>
    </row>
    <row r="14" spans="1:7" ht="30" x14ac:dyDescent="0.25">
      <c r="A14" s="102">
        <v>3</v>
      </c>
      <c r="B14" s="136" t="s">
        <v>345</v>
      </c>
      <c r="C14" s="116" t="s">
        <v>340</v>
      </c>
      <c r="D14" s="137">
        <v>27</v>
      </c>
      <c r="E14" s="147">
        <v>0</v>
      </c>
      <c r="F14" s="138">
        <f t="shared" si="0"/>
        <v>0</v>
      </c>
    </row>
    <row r="15" spans="1:7" ht="30" x14ac:dyDescent="0.25">
      <c r="A15" s="102">
        <v>4</v>
      </c>
      <c r="B15" s="136" t="s">
        <v>346</v>
      </c>
      <c r="C15" s="116" t="s">
        <v>340</v>
      </c>
      <c r="D15" s="137">
        <v>27</v>
      </c>
      <c r="E15" s="147">
        <v>0</v>
      </c>
      <c r="F15" s="138">
        <f t="shared" si="0"/>
        <v>0</v>
      </c>
    </row>
    <row r="16" spans="1:7" ht="30" x14ac:dyDescent="0.25">
      <c r="A16" s="102">
        <v>5</v>
      </c>
      <c r="B16" s="136" t="s">
        <v>351</v>
      </c>
      <c r="C16" s="116" t="s">
        <v>340</v>
      </c>
      <c r="D16" s="137">
        <v>27</v>
      </c>
      <c r="E16" s="147">
        <v>0</v>
      </c>
      <c r="F16" s="138">
        <f t="shared" si="0"/>
        <v>0</v>
      </c>
    </row>
    <row r="17" spans="1:6" ht="60" x14ac:dyDescent="0.25">
      <c r="A17" s="102">
        <v>6</v>
      </c>
      <c r="B17" s="136" t="s">
        <v>368</v>
      </c>
      <c r="C17" s="116" t="s">
        <v>340</v>
      </c>
      <c r="D17" s="137">
        <v>35</v>
      </c>
      <c r="E17" s="147">
        <v>0</v>
      </c>
      <c r="F17" s="138">
        <f t="shared" si="0"/>
        <v>0</v>
      </c>
    </row>
    <row r="18" spans="1:6" ht="45" customHeight="1" x14ac:dyDescent="0.25">
      <c r="A18" s="102">
        <v>7</v>
      </c>
      <c r="B18" s="136" t="s">
        <v>350</v>
      </c>
      <c r="C18" s="116" t="s">
        <v>340</v>
      </c>
      <c r="D18" s="131">
        <v>44</v>
      </c>
      <c r="E18" s="147">
        <v>0</v>
      </c>
      <c r="F18" s="138">
        <f t="shared" si="0"/>
        <v>0</v>
      </c>
    </row>
    <row r="19" spans="1:6" ht="44.45" customHeight="1" x14ac:dyDescent="0.25">
      <c r="A19" s="102">
        <v>8</v>
      </c>
      <c r="B19" s="136" t="s">
        <v>349</v>
      </c>
      <c r="C19" s="116" t="s">
        <v>340</v>
      </c>
      <c r="D19" s="131">
        <v>39</v>
      </c>
      <c r="E19" s="147">
        <v>0</v>
      </c>
      <c r="F19" s="138">
        <f t="shared" si="0"/>
        <v>0</v>
      </c>
    </row>
    <row r="20" spans="1:6" ht="30" x14ac:dyDescent="0.25">
      <c r="A20" s="102">
        <v>9</v>
      </c>
      <c r="B20" s="139" t="s">
        <v>342</v>
      </c>
      <c r="C20" s="116" t="s">
        <v>340</v>
      </c>
      <c r="D20" s="131">
        <v>25</v>
      </c>
      <c r="E20" s="147">
        <v>0</v>
      </c>
      <c r="F20" s="138">
        <f t="shared" si="0"/>
        <v>0</v>
      </c>
    </row>
    <row r="21" spans="1:6" ht="67.5" customHeight="1" x14ac:dyDescent="0.25">
      <c r="A21" s="102">
        <v>10</v>
      </c>
      <c r="B21" s="136" t="s">
        <v>361</v>
      </c>
      <c r="C21" s="115" t="s">
        <v>343</v>
      </c>
      <c r="D21" s="131">
        <v>580</v>
      </c>
      <c r="E21" s="147">
        <v>0</v>
      </c>
      <c r="F21" s="138">
        <f t="shared" si="0"/>
        <v>0</v>
      </c>
    </row>
    <row r="22" spans="1:6" ht="135" x14ac:dyDescent="0.25">
      <c r="A22" s="102">
        <v>11</v>
      </c>
      <c r="B22" s="139" t="s">
        <v>359</v>
      </c>
      <c r="C22" s="115" t="s">
        <v>343</v>
      </c>
      <c r="D22" s="131">
        <v>230</v>
      </c>
      <c r="E22" s="147">
        <v>0</v>
      </c>
      <c r="F22" s="138">
        <f t="shared" si="0"/>
        <v>0</v>
      </c>
    </row>
    <row r="23" spans="1:6" ht="60" x14ac:dyDescent="0.25">
      <c r="A23" s="102">
        <v>12</v>
      </c>
      <c r="B23" s="140" t="s">
        <v>348</v>
      </c>
      <c r="C23" s="115" t="s">
        <v>343</v>
      </c>
      <c r="D23" s="131">
        <v>110</v>
      </c>
      <c r="E23" s="147">
        <v>0</v>
      </c>
      <c r="F23" s="138">
        <f t="shared" si="0"/>
        <v>0</v>
      </c>
    </row>
    <row r="24" spans="1:6" ht="105" x14ac:dyDescent="0.25">
      <c r="A24" s="102">
        <v>13</v>
      </c>
      <c r="B24" s="136" t="s">
        <v>364</v>
      </c>
      <c r="C24" s="115" t="s">
        <v>336</v>
      </c>
      <c r="D24" s="131">
        <v>4500</v>
      </c>
      <c r="E24" s="147">
        <v>0</v>
      </c>
      <c r="F24" s="138">
        <f t="shared" si="0"/>
        <v>0</v>
      </c>
    </row>
    <row r="25" spans="1:6" ht="75" x14ac:dyDescent="0.25">
      <c r="A25" s="102">
        <v>14</v>
      </c>
      <c r="B25" s="140" t="s">
        <v>365</v>
      </c>
      <c r="C25" s="115" t="s">
        <v>336</v>
      </c>
      <c r="D25" s="131">
        <v>6500</v>
      </c>
      <c r="E25" s="147">
        <v>0</v>
      </c>
      <c r="F25" s="138">
        <f t="shared" si="0"/>
        <v>0</v>
      </c>
    </row>
    <row r="26" spans="1:6" s="141" customFormat="1" ht="46.15" customHeight="1" x14ac:dyDescent="0.25">
      <c r="A26" s="102">
        <v>15</v>
      </c>
      <c r="B26" s="140" t="s">
        <v>354</v>
      </c>
      <c r="C26" s="115" t="s">
        <v>336</v>
      </c>
      <c r="D26" s="131">
        <v>2536</v>
      </c>
      <c r="E26" s="147">
        <v>0</v>
      </c>
      <c r="F26" s="138">
        <f t="shared" si="0"/>
        <v>0</v>
      </c>
    </row>
    <row r="27" spans="1:6" ht="90" x14ac:dyDescent="0.25">
      <c r="A27" s="102">
        <v>16</v>
      </c>
      <c r="B27" s="140" t="s">
        <v>366</v>
      </c>
      <c r="C27" s="115" t="s">
        <v>336</v>
      </c>
      <c r="D27" s="131">
        <v>11945</v>
      </c>
      <c r="E27" s="147">
        <v>0</v>
      </c>
      <c r="F27" s="138">
        <f t="shared" si="0"/>
        <v>0</v>
      </c>
    </row>
    <row r="28" spans="1:6" ht="18.75" x14ac:dyDescent="0.25">
      <c r="A28" s="102">
        <v>17</v>
      </c>
      <c r="B28" s="139" t="s">
        <v>344</v>
      </c>
      <c r="C28" s="115" t="s">
        <v>336</v>
      </c>
      <c r="D28" s="131">
        <v>100</v>
      </c>
      <c r="E28" s="147">
        <v>0</v>
      </c>
      <c r="F28" s="138">
        <f t="shared" si="0"/>
        <v>0</v>
      </c>
    </row>
    <row r="29" spans="1:6" ht="75" x14ac:dyDescent="0.25">
      <c r="A29" s="102">
        <v>18</v>
      </c>
      <c r="B29" s="140" t="s">
        <v>367</v>
      </c>
      <c r="C29" s="115" t="s">
        <v>343</v>
      </c>
      <c r="D29" s="131">
        <v>230</v>
      </c>
      <c r="E29" s="147">
        <v>0</v>
      </c>
      <c r="F29" s="138">
        <f t="shared" si="0"/>
        <v>0</v>
      </c>
    </row>
    <row r="30" spans="1:6" ht="180" x14ac:dyDescent="0.25">
      <c r="A30" s="102">
        <v>19</v>
      </c>
      <c r="B30" s="136" t="s">
        <v>362</v>
      </c>
      <c r="C30" s="115" t="s">
        <v>341</v>
      </c>
      <c r="D30" s="131">
        <v>1</v>
      </c>
      <c r="E30" s="147">
        <v>0</v>
      </c>
      <c r="F30" s="138">
        <f t="shared" si="0"/>
        <v>0</v>
      </c>
    </row>
    <row r="31" spans="1:6" ht="210" x14ac:dyDescent="0.25">
      <c r="A31" s="102">
        <v>20</v>
      </c>
      <c r="B31" s="140" t="s">
        <v>363</v>
      </c>
      <c r="C31" s="116" t="s">
        <v>255</v>
      </c>
      <c r="D31" s="137">
        <v>6</v>
      </c>
      <c r="E31" s="147">
        <v>0</v>
      </c>
      <c r="F31" s="138">
        <f t="shared" si="0"/>
        <v>0</v>
      </c>
    </row>
    <row r="32" spans="1:6" ht="150" x14ac:dyDescent="0.25">
      <c r="A32" s="102">
        <v>21</v>
      </c>
      <c r="B32" s="136" t="s">
        <v>360</v>
      </c>
      <c r="C32" s="142" t="s">
        <v>336</v>
      </c>
      <c r="D32" s="143">
        <v>2350</v>
      </c>
      <c r="E32" s="147">
        <v>0</v>
      </c>
      <c r="F32" s="138">
        <f t="shared" si="0"/>
        <v>0</v>
      </c>
    </row>
    <row r="33" spans="1:6" ht="30" x14ac:dyDescent="0.25">
      <c r="A33" s="102">
        <v>22</v>
      </c>
      <c r="B33" s="140" t="s">
        <v>358</v>
      </c>
      <c r="C33" s="116" t="s">
        <v>255</v>
      </c>
      <c r="D33" s="143">
        <v>2</v>
      </c>
      <c r="E33" s="147">
        <v>0</v>
      </c>
      <c r="F33" s="138">
        <f t="shared" si="0"/>
        <v>0</v>
      </c>
    </row>
    <row r="34" spans="1:6" x14ac:dyDescent="0.25">
      <c r="A34" s="197" t="s">
        <v>370</v>
      </c>
      <c r="B34" s="197"/>
      <c r="C34" s="197"/>
      <c r="D34" s="197"/>
      <c r="E34" s="148"/>
      <c r="F34" s="155">
        <f>SUM(F12:F33)</f>
        <v>0</v>
      </c>
    </row>
    <row r="35" spans="1:6" x14ac:dyDescent="0.25">
      <c r="A35" s="197" t="s">
        <v>371</v>
      </c>
      <c r="B35" s="197"/>
      <c r="C35" s="197"/>
      <c r="D35" s="197"/>
      <c r="E35" s="149">
        <v>0.18</v>
      </c>
      <c r="F35" s="154">
        <f>F34*E35</f>
        <v>0</v>
      </c>
    </row>
    <row r="36" spans="1:6" x14ac:dyDescent="0.25">
      <c r="A36" s="197" t="s">
        <v>372</v>
      </c>
      <c r="B36" s="197"/>
      <c r="C36" s="197"/>
      <c r="D36" s="197"/>
      <c r="E36" s="150" t="s">
        <v>373</v>
      </c>
      <c r="F36" s="155">
        <f>F34+F35</f>
        <v>0</v>
      </c>
    </row>
    <row r="38" spans="1:6" ht="15.75" x14ac:dyDescent="0.25">
      <c r="A38" s="151"/>
    </row>
    <row r="39" spans="1:6" ht="15.75" x14ac:dyDescent="0.25">
      <c r="A39" s="198" t="s">
        <v>374</v>
      </c>
      <c r="B39" s="198"/>
      <c r="C39" s="198"/>
      <c r="D39" s="198"/>
      <c r="E39" s="198"/>
      <c r="F39" s="198"/>
    </row>
    <row r="40" spans="1:6" ht="15.75" x14ac:dyDescent="0.25">
      <c r="A40" s="199" t="s">
        <v>375</v>
      </c>
      <c r="B40" s="199"/>
      <c r="C40" s="199"/>
      <c r="D40" s="199"/>
      <c r="E40" s="199"/>
      <c r="F40" s="199"/>
    </row>
    <row r="41" spans="1:6" ht="15.75" x14ac:dyDescent="0.25">
      <c r="A41" s="152" t="s">
        <v>376</v>
      </c>
      <c r="B41" s="153" t="s">
        <v>377</v>
      </c>
      <c r="C41" s="82"/>
      <c r="D41" s="82"/>
      <c r="E41" s="66"/>
      <c r="F41" s="66"/>
    </row>
    <row r="42" spans="1:6" ht="15.75" x14ac:dyDescent="0.25">
      <c r="A42" s="152" t="s">
        <v>378</v>
      </c>
      <c r="B42" s="200" t="s">
        <v>379</v>
      </c>
      <c r="C42" s="200"/>
      <c r="D42" s="200"/>
      <c r="E42" s="200"/>
      <c r="F42" s="200"/>
    </row>
    <row r="43" spans="1:6" ht="15.75" x14ac:dyDescent="0.25">
      <c r="A43" s="152" t="s">
        <v>380</v>
      </c>
      <c r="B43" s="153" t="s">
        <v>381</v>
      </c>
      <c r="C43" s="82"/>
      <c r="D43" s="82"/>
      <c r="E43" s="66"/>
      <c r="F43" s="66"/>
    </row>
    <row r="44" spans="1:6" ht="15.75" x14ac:dyDescent="0.25">
      <c r="A44" s="152" t="s">
        <v>382</v>
      </c>
      <c r="B44" s="153" t="s">
        <v>383</v>
      </c>
      <c r="C44" s="82"/>
      <c r="D44" s="82"/>
      <c r="E44" s="66"/>
      <c r="F44" s="66"/>
    </row>
    <row r="45" spans="1:6" x14ac:dyDescent="0.25">
      <c r="B45" s="144" t="s">
        <v>384</v>
      </c>
    </row>
  </sheetData>
  <mergeCells count="10">
    <mergeCell ref="B42:F42"/>
    <mergeCell ref="A39:F39"/>
    <mergeCell ref="A34:D34"/>
    <mergeCell ref="A35:D35"/>
    <mergeCell ref="A36:D36"/>
    <mergeCell ref="A5:F5"/>
    <mergeCell ref="A1:F1"/>
    <mergeCell ref="A7:F7"/>
    <mergeCell ref="A3:F3"/>
    <mergeCell ref="A40:F40"/>
  </mergeCells>
  <pageMargins left="0.7" right="0.7" top="0.75" bottom="0.75" header="0.3" footer="0.3"/>
  <pageSetup scale="93" fitToWidth="0" orientation="portrait" r:id="rId1"/>
  <rowBreaks count="1" manualBreakCount="1">
    <brk id="2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Structural Steel</vt:lpstr>
      <vt:lpstr>Reinforcement Steel</vt:lpstr>
      <vt:lpstr>RCC</vt:lpstr>
      <vt:lpstr>Earthwork and Shuttering</vt:lpstr>
      <vt:lpstr>PRICE LIST FORMAT</vt:lpstr>
      <vt:lpstr>'Earthwork and Shuttering'!Print_Area</vt:lpstr>
      <vt:lpstr>'PRICE LIST FORMAT'!Print_Area</vt:lpstr>
      <vt:lpstr>RCC!Print_Area</vt:lpstr>
      <vt:lpstr>'Reinforcement Steel'!Print_Area</vt:lpstr>
      <vt:lpstr>'Structural Steel'!Print_Area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2024-11-18T09:58:25Z</dcterms:modified>
</cp:coreProperties>
</file>